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01"/>
  <workbookPr/>
  <mc:AlternateContent xmlns:mc="http://schemas.openxmlformats.org/markup-compatibility/2006">
    <mc:Choice Requires="x15">
      <x15ac:absPath xmlns:x15ac="http://schemas.microsoft.com/office/spreadsheetml/2010/11/ac" url="K:\N\P\H_EUR_MultiRELOAD_jk\WP5\Calc_tool\"/>
    </mc:Choice>
  </mc:AlternateContent>
  <xr:revisionPtr revIDLastSave="0" documentId="8_{3FF9DE10-8245-49E6-B54D-B72C0DDF6AA1}" xr6:coauthVersionLast="47" xr6:coauthVersionMax="47" xr10:uidLastSave="{00000000-0000-0000-0000-000000000000}"/>
  <bookViews>
    <workbookView xWindow="-28920" yWindow="-120" windowWidth="29040" windowHeight="18240" xr2:uid="{3EE76AC7-62BD-4E0D-8C7D-07659905D462}"/>
  </bookViews>
  <sheets>
    <sheet name="Introduction" sheetId="28" r:id="rId1"/>
    <sheet name="Summary ppt" sheetId="30" r:id="rId2"/>
    <sheet name="Assets" sheetId="22" r:id="rId3"/>
    <sheet name="variable elements" sheetId="23" r:id="rId4"/>
    <sheet name="help desk" sheetId="29" r:id="rId5"/>
    <sheet name="Calculation sheet" sheetId="26" state="hidden" r:id="rId6"/>
    <sheet name="Data_Lock+Port" sheetId="15" state="hidden" r:id="rId7"/>
    <sheet name="drop_down_lists" sheetId="16" state="hidden" r:id="rId8"/>
  </sheets>
  <definedNames>
    <definedName name="_xlnm.Print_Area" localSheetId="2">Assets!$A$1:$K$29</definedName>
    <definedName name="_xlnm.Print_Area" localSheetId="1">'Summary ppt'!$A$1:$C$45</definedName>
    <definedName name="_xlnm.Print_Area" localSheetId="3">'variable elements'!$B$1:$C$48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 i="22" l="1"/>
  <c r="B28" i="30"/>
  <c r="C36" i="30"/>
  <c r="C35" i="30"/>
  <c r="B41" i="30"/>
  <c r="B18" i="30"/>
  <c r="B17" i="30"/>
  <c r="B16" i="30"/>
  <c r="B15" i="30"/>
  <c r="B4" i="30"/>
  <c r="B3" i="30"/>
  <c r="C24" i="26"/>
  <c r="C23" i="26"/>
  <c r="B19" i="30" s="1"/>
  <c r="D10" i="22"/>
  <c r="G10" i="22"/>
  <c r="K10" i="22"/>
  <c r="B10" i="22"/>
  <c r="B29" i="22"/>
  <c r="C56" i="26"/>
  <c r="C35" i="26"/>
  <c r="B39" i="30" s="1"/>
  <c r="C29" i="26"/>
  <c r="C14" i="26" a="1"/>
  <c r="C14" i="26" s="1"/>
  <c r="E18" i="29" l="1"/>
  <c r="B18" i="29"/>
  <c r="E12" i="29"/>
  <c r="B11" i="29"/>
  <c r="E5" i="29"/>
  <c r="B5" i="29"/>
  <c r="E14" i="26" l="1" a="1"/>
  <c r="E14" i="26" s="1"/>
  <c r="C50" i="26"/>
  <c r="E50" i="26" s="1"/>
  <c r="E41" i="26"/>
  <c r="E35" i="26"/>
  <c r="C41" i="26"/>
  <c r="C26" i="26"/>
  <c r="B40" i="30" l="1"/>
  <c r="B6" i="26"/>
  <c r="C6" i="26" s="1"/>
  <c r="B5" i="26"/>
  <c r="C8" i="26" s="1"/>
  <c r="C9" i="26" s="1"/>
  <c r="E12" i="26" s="1"/>
  <c r="C12" i="26" l="1"/>
  <c r="C5" i="26"/>
  <c r="C7" i="26" s="1"/>
  <c r="E11" i="26" l="1"/>
  <c r="C11" i="26"/>
  <c r="C36" i="26" l="1"/>
  <c r="B7" i="30"/>
  <c r="E36" i="26"/>
  <c r="B10" i="30"/>
  <c r="E13" i="26"/>
  <c r="C13" i="26"/>
  <c r="C15" i="26" s="1"/>
  <c r="E29" i="22"/>
  <c r="C16" i="26" l="1"/>
  <c r="B6" i="30" s="1"/>
  <c r="B8" i="30"/>
  <c r="E15" i="26"/>
  <c r="D29" i="22"/>
  <c r="C30" i="26" s="1"/>
  <c r="K29" i="22"/>
  <c r="C32" i="26" s="1"/>
  <c r="J10" i="22"/>
  <c r="J29" i="22" s="1"/>
  <c r="H10" i="22"/>
  <c r="H29" i="22" s="1"/>
  <c r="G29" i="22"/>
  <c r="A10" i="22"/>
  <c r="A29" i="22" s="1"/>
  <c r="C31" i="26" l="1"/>
  <c r="C33" i="26"/>
  <c r="B24" i="30" s="1"/>
  <c r="C42" i="26"/>
  <c r="B11" i="30"/>
  <c r="C17" i="26"/>
  <c r="C37" i="26" s="1"/>
  <c r="E16" i="26"/>
  <c r="O22" i="15"/>
  <c r="N22" i="15"/>
  <c r="N16" i="15" s="1"/>
  <c r="O25" i="15"/>
  <c r="N25" i="15"/>
  <c r="T23" i="15"/>
  <c r="T24" i="15" s="1"/>
  <c r="T25" i="15" s="1"/>
  <c r="T26" i="15" s="1"/>
  <c r="T27" i="15" s="1"/>
  <c r="T28" i="15" s="1"/>
  <c r="T29" i="15" s="1"/>
  <c r="T30" i="15" s="1"/>
  <c r="T31" i="15" s="1"/>
  <c r="T32" i="15" s="1"/>
  <c r="T33" i="15" s="1"/>
  <c r="T34" i="15" s="1"/>
  <c r="T35" i="15" s="1"/>
  <c r="T36" i="15" s="1"/>
  <c r="T37" i="15" s="1"/>
  <c r="T38" i="15" s="1"/>
  <c r="T39" i="15" s="1"/>
  <c r="T40" i="15" s="1"/>
  <c r="T41" i="15" s="1"/>
  <c r="C19" i="26" l="1"/>
  <c r="B5" i="30" s="1"/>
  <c r="B9" i="30"/>
  <c r="O27" i="15"/>
  <c r="C43" i="26"/>
  <c r="C47" i="26" s="1"/>
  <c r="E42" i="26"/>
  <c r="E17" i="26"/>
  <c r="C20" i="26" l="1"/>
  <c r="C38" i="26" s="1"/>
  <c r="E37" i="26"/>
  <c r="E43" i="26"/>
  <c r="C49" i="26"/>
  <c r="E47" i="26" l="1"/>
  <c r="E51" i="26" s="1"/>
  <c r="E52" i="26" s="1"/>
  <c r="B36" i="30" s="1"/>
  <c r="C44" i="26"/>
  <c r="C45" i="26" s="1"/>
  <c r="C48" i="26" s="1"/>
  <c r="C51" i="26" l="1"/>
  <c r="C52" i="26" s="1"/>
  <c r="B35" i="30" s="1"/>
  <c r="B26" i="30"/>
  <c r="B25" i="30" s="1"/>
  <c r="C55" i="26" l="1"/>
  <c r="C57" i="26" s="1"/>
  <c r="B32" i="30" s="1"/>
  <c r="B30" i="3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Herfried LEITNER</author>
  </authors>
  <commentList>
    <comment ref="D34" authorId="0" shapeId="0" xr:uid="{CA89708A-4C0E-4DB1-AEC5-C34614DE4BBB}">
      <text>
        <r>
          <rPr>
            <b/>
            <sz val="9"/>
            <color indexed="81"/>
            <rFont val="Segoe UI"/>
            <family val="2"/>
          </rPr>
          <t>Herfried LEITNER:</t>
        </r>
        <r>
          <rPr>
            <sz val="9"/>
            <color indexed="81"/>
            <rFont val="Segoe UI"/>
            <family val="2"/>
          </rPr>
          <t xml:space="preserve">
Bunkering, bilge disposal, taking of fresh water, etc. takes time. Please provide the portion of time for this procedures, considering the distance of your sailing. 
(e.g. you might only spend 6 hours each 4th trip, so please enter the value 6:4=1,5hours)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Herfried LEITNER</author>
  </authors>
  <commentList>
    <comment ref="A3" authorId="0" shapeId="0" xr:uid="{677FC4C3-F1C9-4530-B34D-713806B16C8F}">
      <text>
        <r>
          <rPr>
            <b/>
            <sz val="9"/>
            <color indexed="81"/>
            <rFont val="Segoe UI"/>
            <charset val="1"/>
          </rPr>
          <t>Herfried LEITNER:</t>
        </r>
        <r>
          <rPr>
            <sz val="9"/>
            <color indexed="81"/>
            <rFont val="Segoe UI"/>
            <charset val="1"/>
          </rPr>
          <t xml:space="preserve">
Based on 365 days / year</t>
        </r>
      </text>
    </comment>
    <comment ref="B3" authorId="0" shapeId="0" xr:uid="{8BA38F4A-53A5-4F3E-B870-9851A97FECB9}">
      <text>
        <r>
          <rPr>
            <b/>
            <sz val="9"/>
            <color indexed="81"/>
            <rFont val="Segoe UI"/>
            <charset val="1"/>
          </rPr>
          <t>Herfried LEITNER:</t>
        </r>
        <r>
          <rPr>
            <sz val="9"/>
            <color indexed="81"/>
            <rFont val="Segoe UI"/>
            <charset val="1"/>
          </rPr>
          <t xml:space="preserve">
Only enter if no rent option. Please enter full amount of investment including e.g. purchase price of vessel, repair cost of vessel before operating, etc. </t>
        </r>
      </text>
    </comment>
    <comment ref="D3" authorId="0" shapeId="0" xr:uid="{EB752DD4-1B33-4990-BD06-1CE7FA077F95}">
      <text>
        <r>
          <rPr>
            <b/>
            <sz val="9"/>
            <color indexed="81"/>
            <rFont val="Segoe UI"/>
            <charset val="1"/>
          </rPr>
          <t>Herfried LEITNER:</t>
        </r>
        <r>
          <rPr>
            <sz val="9"/>
            <color indexed="81"/>
            <rFont val="Segoe UI"/>
            <charset val="1"/>
          </rPr>
          <t xml:space="preserve">
Based on 365 days / year</t>
        </r>
      </text>
    </comment>
    <comment ref="E3" authorId="0" shapeId="0" xr:uid="{724A9106-3384-4339-83A1-5D3F5DA9765D}">
      <text>
        <r>
          <rPr>
            <b/>
            <sz val="9"/>
            <color indexed="81"/>
            <rFont val="Segoe UI"/>
            <charset val="1"/>
          </rPr>
          <t>Herfried LEITNER:</t>
        </r>
        <r>
          <rPr>
            <sz val="9"/>
            <color indexed="81"/>
            <rFont val="Segoe UI"/>
            <charset val="1"/>
          </rPr>
          <t xml:space="preserve">
Only enter if no rent option. Please enter full amount of investment including e.g. purchase price of vessel, repair cost of vessel before operating, etc. </t>
        </r>
      </text>
    </comment>
    <comment ref="G3" authorId="0" shapeId="0" xr:uid="{2BA08BB9-0384-4D7B-9E98-73407C424AA0}">
      <text>
        <r>
          <rPr>
            <b/>
            <sz val="9"/>
            <color indexed="81"/>
            <rFont val="Segoe UI"/>
            <charset val="1"/>
          </rPr>
          <t>Herfried LEITNER:</t>
        </r>
        <r>
          <rPr>
            <sz val="9"/>
            <color indexed="81"/>
            <rFont val="Segoe UI"/>
            <charset val="1"/>
          </rPr>
          <t xml:space="preserve">
Based on 365 days / year</t>
        </r>
      </text>
    </comment>
    <comment ref="H3" authorId="0" shapeId="0" xr:uid="{1C380E20-8EE4-4558-8D2E-6A0C39A30072}">
      <text>
        <r>
          <rPr>
            <b/>
            <sz val="9"/>
            <color indexed="81"/>
            <rFont val="Segoe UI"/>
            <charset val="1"/>
          </rPr>
          <t>Herfried LEITNER:</t>
        </r>
        <r>
          <rPr>
            <sz val="9"/>
            <color indexed="81"/>
            <rFont val="Segoe UI"/>
            <charset val="1"/>
          </rPr>
          <t xml:space="preserve">
Only enter if no rent option. Please enter full amount of investment including e.g. purchase price of vessel, repair cost of vessel before operating, etc. </t>
        </r>
      </text>
    </comment>
    <comment ref="J3" authorId="0" shapeId="0" xr:uid="{F0872C67-7B3E-47F9-AB23-7DF04A279B53}">
      <text>
        <r>
          <rPr>
            <b/>
            <sz val="9"/>
            <color indexed="81"/>
            <rFont val="Segoe UI"/>
            <charset val="1"/>
          </rPr>
          <t>Herfried LEITNER:</t>
        </r>
        <r>
          <rPr>
            <sz val="9"/>
            <color indexed="81"/>
            <rFont val="Segoe UI"/>
            <charset val="1"/>
          </rPr>
          <t xml:space="preserve">
Based on 365 days / year</t>
        </r>
      </text>
    </comment>
    <comment ref="K3" authorId="0" shapeId="0" xr:uid="{55092B16-36F8-4762-A04B-10BF7ABE15CE}">
      <text>
        <r>
          <rPr>
            <b/>
            <sz val="9"/>
            <color indexed="81"/>
            <rFont val="Segoe UI"/>
            <charset val="1"/>
          </rPr>
          <t>Herfried LEITNER:</t>
        </r>
        <r>
          <rPr>
            <sz val="9"/>
            <color indexed="81"/>
            <rFont val="Segoe UI"/>
            <charset val="1"/>
          </rPr>
          <t xml:space="preserve">
Only enter if no rent option. Please enter full amount of investment including e.g. repair, cleaning, etc. of containers</t>
        </r>
      </text>
    </comment>
    <comment ref="A11" authorId="0" shapeId="0" xr:uid="{B47B6D77-F283-425E-8E15-86442B9A8EBD}">
      <text>
        <r>
          <rPr>
            <b/>
            <sz val="9"/>
            <color indexed="81"/>
            <rFont val="Segoe UI"/>
            <family val="2"/>
          </rPr>
          <t>Herfried LEITNER:</t>
        </r>
        <r>
          <rPr>
            <sz val="9"/>
            <color indexed="81"/>
            <rFont val="Segoe UI"/>
            <family val="2"/>
          </rPr>
          <t xml:space="preserve">
Please enter the amount of maximum TEU's. Consider if you want to operate on 2 or 3 layers. !!! 3 layers might cause problems with clearance high under bridges</t>
        </r>
      </text>
    </comment>
    <comment ref="G11" authorId="0" shapeId="0" xr:uid="{CF3479FC-0C77-481F-8EB5-D2ED940FFF4F}">
      <text>
        <r>
          <rPr>
            <b/>
            <sz val="9"/>
            <color indexed="81"/>
            <rFont val="Segoe UI"/>
            <family val="2"/>
          </rPr>
          <t>Herfried LEITNER:</t>
        </r>
        <r>
          <rPr>
            <sz val="9"/>
            <color indexed="81"/>
            <rFont val="Segoe UI"/>
            <family val="2"/>
          </rPr>
          <t xml:space="preserve">
Please enter the amount of maximum TEU's. Consider if you want to operate on 2 or 3 layers. !!! 3 layers might cause problems with clearance high under bridges</t>
        </r>
      </text>
    </comment>
    <comment ref="E15" authorId="0" shapeId="0" xr:uid="{45C840A8-F996-4EE8-A0CA-D2FEB6A61D60}">
      <text>
        <r>
          <rPr>
            <b/>
            <sz val="9"/>
            <color indexed="81"/>
            <rFont val="Segoe UI"/>
            <family val="2"/>
          </rPr>
          <t>Herfried LEITNER:</t>
        </r>
        <r>
          <rPr>
            <sz val="9"/>
            <color indexed="81"/>
            <rFont val="Segoe UI"/>
            <family val="2"/>
          </rPr>
          <t xml:space="preserve">
in % of total yearly </t>
        </r>
      </text>
    </comment>
    <comment ref="E17" authorId="0" shapeId="0" xr:uid="{6A002897-66A2-4942-A397-F4FEADCCE299}">
      <text>
        <r>
          <rPr>
            <b/>
            <sz val="9"/>
            <color indexed="81"/>
            <rFont val="Segoe UI"/>
            <family val="2"/>
          </rPr>
          <t>Herfried LEITNER:</t>
        </r>
        <r>
          <rPr>
            <sz val="9"/>
            <color indexed="81"/>
            <rFont val="Segoe UI"/>
            <family val="2"/>
          </rPr>
          <t xml:space="preserve">
in % of total yearly </t>
        </r>
      </text>
    </comment>
    <comment ref="E19" authorId="0" shapeId="0" xr:uid="{ABAEB0BF-F1CF-4CF6-A88E-8F006A06363E}">
      <text>
        <r>
          <rPr>
            <b/>
            <sz val="9"/>
            <color indexed="81"/>
            <rFont val="Segoe UI"/>
            <family val="2"/>
          </rPr>
          <t>Herfried LEITNER:</t>
        </r>
        <r>
          <rPr>
            <sz val="9"/>
            <color indexed="81"/>
            <rFont val="Segoe UI"/>
            <family val="2"/>
          </rPr>
          <t xml:space="preserve">
Could be external financing or internal calculative cost of capital, but in % of total yearly </t>
        </r>
      </text>
    </comment>
    <comment ref="E21" authorId="0" shapeId="0" xr:uid="{E22E391C-7688-4668-AE05-B2CBE1FBA9FA}">
      <text>
        <r>
          <rPr>
            <b/>
            <sz val="9"/>
            <color indexed="81"/>
            <rFont val="Segoe UI"/>
            <family val="2"/>
          </rPr>
          <t>Herfried LEITNER:</t>
        </r>
        <r>
          <rPr>
            <sz val="9"/>
            <color indexed="81"/>
            <rFont val="Segoe UI"/>
            <family val="2"/>
          </rPr>
          <t xml:space="preserve">
Unforeseen cost which are not considered above in % of initial cost for 1st year of oeprations </t>
        </r>
      </text>
    </comment>
    <comment ref="E23" authorId="0" shapeId="0" xr:uid="{84D55565-95D2-4C1E-9777-1F8F3AC14AFA}">
      <text>
        <r>
          <rPr>
            <b/>
            <sz val="9"/>
            <color indexed="81"/>
            <rFont val="Segoe UI"/>
            <family val="2"/>
          </rPr>
          <t>Herfried LEITNER:</t>
        </r>
        <r>
          <rPr>
            <sz val="9"/>
            <color indexed="81"/>
            <rFont val="Segoe UI"/>
            <family val="2"/>
          </rPr>
          <t xml:space="preserve">
How many days will you operate the services? Please consider also technical downtimes, time for repairs, re-certification, etc.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Herfried LEITNER</author>
  </authors>
  <commentList>
    <comment ref="B3" authorId="0" shapeId="0" xr:uid="{BF80BD63-5B1D-47D3-AFF0-2062067A4F7D}">
      <text>
        <r>
          <rPr>
            <b/>
            <sz val="9"/>
            <color indexed="81"/>
            <rFont val="Segoe UI"/>
            <family val="2"/>
          </rPr>
          <t>Herfried LEITNER:</t>
        </r>
        <r>
          <rPr>
            <sz val="9"/>
            <color indexed="81"/>
            <rFont val="Segoe UI"/>
            <family val="2"/>
          </rPr>
          <t xml:space="preserve">
Please enter the total average amount of gasoil the vessel uses per operating hour. This value shall include auxiliary engines and bow thruster as well. Best to calculate would be a long time average.
Or
you can use the link to the help desk to calculate approximate values on your own</t>
        </r>
      </text>
    </comment>
    <comment ref="B4" authorId="0" shapeId="0" xr:uid="{1943FC99-89BD-42F2-BAE5-032C68346DF1}">
      <text>
        <r>
          <rPr>
            <b/>
            <sz val="9"/>
            <color indexed="81"/>
            <rFont val="Segoe UI"/>
            <family val="2"/>
          </rPr>
          <t>Herfried LEITNER:</t>
        </r>
        <r>
          <rPr>
            <sz val="9"/>
            <color indexed="81"/>
            <rFont val="Segoe UI"/>
            <family val="2"/>
          </rPr>
          <t xml:space="preserve">
Please enter the total average amount of gasoil the vessel uses per operating hour. This value shall include auxiliary engines and bow thruster as well. Best to calculate would be a long time average.
Or,
you can use the link to the help desk to calculate approximate values on your own</t>
        </r>
      </text>
    </comment>
    <comment ref="B5" authorId="0" shapeId="0" xr:uid="{E6DD302B-0419-4B3E-9E95-7C3C64491E3E}">
      <text>
        <r>
          <rPr>
            <b/>
            <sz val="9"/>
            <color indexed="81"/>
            <rFont val="Segoe UI"/>
            <family val="2"/>
          </rPr>
          <t>Herfried LEITNER:</t>
        </r>
        <r>
          <rPr>
            <sz val="9"/>
            <color indexed="81"/>
            <rFont val="Segoe UI"/>
            <family val="2"/>
          </rPr>
          <t xml:space="preserve">
Please enter the average spending for grease and lubricants compared to the spendings for gasoil (typically between 2% to 4% of gasoil spendings)</t>
        </r>
      </text>
    </comment>
    <comment ref="B21" authorId="0" shapeId="0" xr:uid="{A6705DD0-4D44-449C-9579-B20638EF18DC}">
      <text>
        <r>
          <rPr>
            <b/>
            <sz val="9"/>
            <color indexed="81"/>
            <rFont val="Segoe UI"/>
            <charset val="1"/>
          </rPr>
          <t>Herfried LEITNER:</t>
        </r>
        <r>
          <rPr>
            <sz val="9"/>
            <color indexed="81"/>
            <rFont val="Segoe UI"/>
            <charset val="1"/>
          </rPr>
          <t xml:space="preserve">
Please provide speed in km/h</t>
        </r>
      </text>
    </comment>
    <comment ref="B22" authorId="0" shapeId="0" xr:uid="{741C2832-4764-4F5F-A2C6-4D89C16F7F63}">
      <text>
        <r>
          <rPr>
            <b/>
            <sz val="9"/>
            <color indexed="81"/>
            <rFont val="Segoe UI"/>
            <charset val="1"/>
          </rPr>
          <t>Herfried LEITNER:</t>
        </r>
        <r>
          <rPr>
            <sz val="9"/>
            <color indexed="81"/>
            <rFont val="Segoe UI"/>
            <charset val="1"/>
          </rPr>
          <t xml:space="preserve">
Please provide speed in km/h</t>
        </r>
      </text>
    </comment>
    <comment ref="B24" authorId="0" shapeId="0" xr:uid="{2252C736-AA8E-4E88-A943-82938F5F66DB}">
      <text>
        <r>
          <rPr>
            <b/>
            <sz val="9"/>
            <color indexed="81"/>
            <rFont val="Segoe UI"/>
            <charset val="1"/>
          </rPr>
          <t>Herfried LEITNER:</t>
        </r>
        <r>
          <rPr>
            <sz val="9"/>
            <color indexed="81"/>
            <rFont val="Segoe UI"/>
            <charset val="1"/>
          </rPr>
          <t xml:space="preserve">
Loading-unit definition: 
1 Motor Cargo Vessel = 1 loading-unit
1 Barge = 1 loading-unit
Please define how many loading-units you will transport on this route. 
!!! The amount of loading units have influence on the minimum staffing requirement !!!
</t>
        </r>
      </text>
    </comment>
    <comment ref="B25" authorId="0" shapeId="0" xr:uid="{4BC61C74-06DF-4847-A906-12D5004CEE24}">
      <text>
        <r>
          <rPr>
            <b/>
            <sz val="9"/>
            <color indexed="81"/>
            <rFont val="Segoe UI"/>
            <charset val="1"/>
          </rPr>
          <t>Herfried LEITNER:</t>
        </r>
        <r>
          <rPr>
            <sz val="9"/>
            <color indexed="81"/>
            <rFont val="Segoe UI"/>
            <charset val="1"/>
          </rPr>
          <t xml:space="preserve">
How many of loading-units will be used for the transport of mm-equipment on the selected route?</t>
        </r>
      </text>
    </comment>
    <comment ref="B28" authorId="0" shapeId="0" xr:uid="{DEC8E097-E65C-4184-92E4-6C0F6C48C336}">
      <text>
        <r>
          <rPr>
            <sz val="11"/>
            <color theme="1"/>
            <rFont val="Aptos Narrow"/>
            <family val="2"/>
            <scheme val="minor"/>
          </rPr>
          <t>Herfried LEITNER:
What is the anticipated utilization ratio of your "Maximum amount of 20'ft. equivalent mm-equipment", declared in the previous question?
Utilization ratio means the amount of paid transport services for an equipment, as sometimes you might need to re-locate empty equipment from POL to POD or vv. without being paid for it.</t>
        </r>
      </text>
    </comment>
    <comment ref="B29" authorId="0" shapeId="0" xr:uid="{5CE6C6F4-AA84-4DF0-943F-95D45EAA6890}">
      <text>
        <r>
          <rPr>
            <b/>
            <sz val="9"/>
            <color indexed="81"/>
            <rFont val="Segoe UI"/>
            <charset val="1"/>
          </rPr>
          <t>Herfried LEITNER:</t>
        </r>
        <r>
          <rPr>
            <sz val="9"/>
            <color indexed="81"/>
            <rFont val="Segoe UI"/>
            <charset val="1"/>
          </rPr>
          <t xml:space="preserve">
What is the anticipated utilization ratio of your "Maximum amount of 20'ft. equivalent mm-equipment", declared in the previous question?</t>
        </r>
      </text>
    </comment>
    <comment ref="B31" authorId="0" shapeId="0" xr:uid="{9E4566D4-3C8A-408F-946E-CAEEE3C8A5D7}">
      <text>
        <r>
          <rPr>
            <b/>
            <sz val="9"/>
            <color indexed="81"/>
            <rFont val="Segoe UI"/>
            <family val="2"/>
          </rPr>
          <t>Herfried LEITNER:</t>
        </r>
        <r>
          <rPr>
            <sz val="9"/>
            <color indexed="81"/>
            <rFont val="Segoe UI"/>
            <family val="2"/>
          </rPr>
          <t xml:space="preserve">
Which sailing regime do you indent to use for this operation? 
A1 = 14 hours sailing
A2 = 18 hours sailing
B = 24 hours sailing</t>
        </r>
      </text>
    </comment>
    <comment ref="B32" authorId="0" shapeId="0" xr:uid="{81B3D023-72FA-4F02-A5E3-8C1444FAE1F5}">
      <text>
        <r>
          <rPr>
            <b/>
            <sz val="9"/>
            <color indexed="81"/>
            <rFont val="Segoe UI"/>
            <family val="2"/>
          </rPr>
          <t>Herfried LEITNER:</t>
        </r>
        <r>
          <rPr>
            <sz val="9"/>
            <color indexed="81"/>
            <rFont val="Segoe UI"/>
            <family val="2"/>
          </rPr>
          <t xml:space="preserve">
Please provide your crewing cost per operational day. 
The link will provide you with approximate values;</t>
        </r>
      </text>
    </comment>
    <comment ref="B34" authorId="0" shapeId="0" xr:uid="{DD539C32-D523-401B-A837-198B50C22C0B}">
      <text>
        <r>
          <rPr>
            <b/>
            <sz val="9"/>
            <color indexed="81"/>
            <rFont val="Segoe UI"/>
            <family val="2"/>
          </rPr>
          <t>Herfried LEITNER:</t>
        </r>
        <r>
          <rPr>
            <sz val="9"/>
            <color indexed="81"/>
            <rFont val="Segoe UI"/>
            <family val="2"/>
          </rPr>
          <t xml:space="preserve">
Bunkering, bilge disposal, taking of fresh water, etc. takes time. Please provide the portion of time for this procedures, considering the distance of your sailing. 
(e.g. you might only spend 6 hours each 4th trip, so please enter the value 6:4=1,5hours) </t>
        </r>
      </text>
    </comment>
    <comment ref="B40" authorId="0" shapeId="0" xr:uid="{51CCF274-3471-4EB9-98F0-5D2A77EFA5C1}">
      <text>
        <r>
          <rPr>
            <b/>
            <sz val="9"/>
            <color indexed="81"/>
            <rFont val="Segoe UI"/>
            <family val="2"/>
          </rPr>
          <t>Herfried LEITNER:</t>
        </r>
        <r>
          <rPr>
            <sz val="9"/>
            <color indexed="81"/>
            <rFont val="Segoe UI"/>
            <family val="2"/>
          </rPr>
          <t xml:space="preserve">
The average hours needed for loading. Please take into consideration that one move takes typically between between 2 and 4 minutes. </t>
        </r>
      </text>
    </comment>
    <comment ref="B42" authorId="0" shapeId="0" xr:uid="{EEFB720F-44E9-4653-9BFB-D006ECE18E50}">
      <text>
        <r>
          <rPr>
            <b/>
            <sz val="9"/>
            <color indexed="81"/>
            <rFont val="Segoe UI"/>
            <family val="2"/>
          </rPr>
          <t>Herfried LEITNER:</t>
        </r>
        <r>
          <rPr>
            <sz val="9"/>
            <color indexed="81"/>
            <rFont val="Segoe UI"/>
            <family val="2"/>
          </rPr>
          <t xml:space="preserve">
The average hours needed for loading. Please take into consideration that one move takes typically between between 2 and 4 minutes. </t>
        </r>
      </text>
    </comment>
    <comment ref="B44" authorId="0" shapeId="0" xr:uid="{A164AF24-43C4-4526-90D0-1D86053A028B}">
      <text>
        <r>
          <rPr>
            <b/>
            <sz val="9"/>
            <color indexed="81"/>
            <rFont val="Segoe UI"/>
            <family val="2"/>
          </rPr>
          <t>Herfried LEITNER:</t>
        </r>
        <r>
          <rPr>
            <sz val="9"/>
            <color indexed="81"/>
            <rFont val="Segoe UI"/>
            <family val="2"/>
          </rPr>
          <t xml:space="preserve">
The average hours needed for loading. Please take into consideration that one move takes typically between between 2 and 4 minutes. </t>
        </r>
      </text>
    </comment>
    <comment ref="B46" authorId="0" shapeId="0" xr:uid="{29A2463A-6D15-420D-ADCD-4674F659BAC0}">
      <text>
        <r>
          <rPr>
            <b/>
            <sz val="9"/>
            <color indexed="81"/>
            <rFont val="Segoe UI"/>
            <family val="2"/>
          </rPr>
          <t>Herfried LEITNER:</t>
        </r>
        <r>
          <rPr>
            <sz val="9"/>
            <color indexed="81"/>
            <rFont val="Segoe UI"/>
            <family val="2"/>
          </rPr>
          <t xml:space="preserve">
The average hours needed for loading. Please take into consideration that one move takes typically between between 2 and 4 minutes. </t>
        </r>
      </text>
    </comment>
    <comment ref="B48" authorId="0" shapeId="0" xr:uid="{99F1369F-C01D-4B80-A0C2-FE0E684742C8}">
      <text>
        <r>
          <rPr>
            <b/>
            <sz val="9"/>
            <color indexed="81"/>
            <rFont val="Segoe UI"/>
            <charset val="1"/>
          </rPr>
          <t>Herfried LEITNER:</t>
        </r>
        <r>
          <rPr>
            <sz val="9"/>
            <color indexed="81"/>
            <rFont val="Segoe UI"/>
            <charset val="1"/>
          </rPr>
          <t xml:space="preserve">
Please enter here the cost for the terminal handling charges </t>
        </r>
        <r>
          <rPr>
            <b/>
            <sz val="9"/>
            <color indexed="81"/>
            <rFont val="Segoe UI"/>
            <family val="2"/>
          </rPr>
          <t>per TEU</t>
        </r>
        <r>
          <rPr>
            <sz val="9"/>
            <color indexed="81"/>
            <rFont val="Segoe UI"/>
            <charset val="1"/>
          </rPr>
          <t xml:space="preserve">. 
!!! This could be the lifting charges from to the barge, but in some cases additonal charges for lifting it onto truck, documentation, storage, etc.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Herfried LEITNER</author>
    <author>Herfried Leitner</author>
  </authors>
  <commentList>
    <comment ref="B2" authorId="0" shapeId="0" xr:uid="{264EA03A-D235-4FBA-8BD7-45F58BCD88D2}">
      <text>
        <r>
          <rPr>
            <b/>
            <sz val="9"/>
            <color indexed="81"/>
            <rFont val="Segoe UI"/>
            <family val="2"/>
          </rPr>
          <t>Herfried LEITNER:</t>
        </r>
        <r>
          <rPr>
            <sz val="9"/>
            <color indexed="81"/>
            <rFont val="Segoe UI"/>
            <family val="2"/>
          </rPr>
          <t xml:space="preserve">
Please enter here the total engine power. Auxiliary generators/engines  are not to be consider. </t>
        </r>
      </text>
    </comment>
    <comment ref="D2" authorId="1" shapeId="0" xr:uid="{D0D99BB5-5342-4EFC-9269-FD2A41EB72F2}">
      <text>
        <r>
          <rPr>
            <sz val="11"/>
            <color theme="1"/>
            <rFont val="Aptos Narrow"/>
            <family val="2"/>
            <scheme val="minor"/>
          </rPr>
          <t>Herfried Leitner:
The approx. consumtion of marine engines is about 200 grams diesel / kWh. 
Density of Diesel is 1.1834, which is used to convert from grams to liter.</t>
        </r>
      </text>
    </comment>
    <comment ref="E2" authorId="0" shapeId="0" xr:uid="{48E495AF-C2C3-4CDA-AE99-7E1E705456D7}">
      <text>
        <r>
          <rPr>
            <b/>
            <sz val="9"/>
            <color indexed="81"/>
            <rFont val="Segoe UI"/>
            <family val="2"/>
          </rPr>
          <t>Herfried LEITNER:</t>
        </r>
        <r>
          <rPr>
            <sz val="9"/>
            <color indexed="81"/>
            <rFont val="Segoe UI"/>
            <family val="2"/>
          </rPr>
          <t xml:space="preserve">
Please enter the optimum efficiency range of the engine (typically between 60% to 75% of maximum power)</t>
        </r>
      </text>
    </comment>
    <comment ref="B8" authorId="0" shapeId="0" xr:uid="{0C5063D1-FA95-42C3-85D4-753F3E347951}">
      <text>
        <r>
          <rPr>
            <b/>
            <sz val="9"/>
            <color indexed="81"/>
            <rFont val="Segoe UI"/>
            <family val="2"/>
          </rPr>
          <t>Herfried LEITNER:</t>
        </r>
        <r>
          <rPr>
            <sz val="9"/>
            <color indexed="81"/>
            <rFont val="Segoe UI"/>
            <family val="2"/>
          </rPr>
          <t xml:space="preserve">
Please enter the total bow thruster power in kW</t>
        </r>
      </text>
    </comment>
    <comment ref="D8" authorId="1" shapeId="0" xr:uid="{E2030D8D-0D1B-4EF2-886A-E70A3461199F}">
      <text>
        <r>
          <rPr>
            <sz val="11"/>
            <color theme="1"/>
            <rFont val="Aptos Narrow"/>
            <family val="2"/>
            <scheme val="minor"/>
          </rPr>
          <t>Herfried Leitner:
The approx. consumtion of marine engines is about 200 grams diesel / kWh. 
Density of Diesel is 1.1834, which is used to convert from grams to liter.</t>
        </r>
      </text>
    </comment>
    <comment ref="E8" authorId="0" shapeId="0" xr:uid="{78E9631C-E6B0-434E-9F80-C03E8165186B}">
      <text>
        <r>
          <rPr>
            <b/>
            <sz val="9"/>
            <color indexed="81"/>
            <rFont val="Segoe UI"/>
            <family val="2"/>
          </rPr>
          <t>Herfried LEITNER:</t>
        </r>
        <r>
          <rPr>
            <sz val="9"/>
            <color indexed="81"/>
            <rFont val="Segoe UI"/>
            <family val="2"/>
          </rPr>
          <t xml:space="preserve">
Please consider that the usage of the bow thruster is limited. Typically this ranges in between of 5 to 10% of sailing hours, depending on route and sailing experience.</t>
        </r>
      </text>
    </comment>
    <comment ref="E10" authorId="0" shapeId="0" xr:uid="{52A0DCC0-C88C-4008-A7EA-B34C4F4311F8}">
      <text>
        <r>
          <rPr>
            <b/>
            <sz val="9"/>
            <color indexed="81"/>
            <rFont val="Segoe UI"/>
            <family val="2"/>
          </rPr>
          <t>Herfried LEITNER:</t>
        </r>
        <r>
          <rPr>
            <sz val="9"/>
            <color indexed="81"/>
            <rFont val="Segoe UI"/>
            <family val="2"/>
          </rPr>
          <t xml:space="preserve">
Please enter the optimum efficiency range of the bow thruster engine (typically between 60% to 75% of maximum power)</t>
        </r>
      </text>
    </comment>
    <comment ref="B15" authorId="0" shapeId="0" xr:uid="{C5B6825D-B168-4445-839F-F7B1182051F1}">
      <text>
        <r>
          <rPr>
            <b/>
            <sz val="9"/>
            <color indexed="81"/>
            <rFont val="Segoe UI"/>
            <family val="2"/>
          </rPr>
          <t>Herfried LEITNER:</t>
        </r>
        <r>
          <rPr>
            <sz val="9"/>
            <color indexed="81"/>
            <rFont val="Segoe UI"/>
            <family val="2"/>
          </rPr>
          <t xml:space="preserve">
Please enter the total power in kW of the main generator</t>
        </r>
      </text>
    </comment>
    <comment ref="D15" authorId="1" shapeId="0" xr:uid="{956264D9-E3F5-457B-8E28-D7D2B4AC4D2C}">
      <text>
        <r>
          <rPr>
            <sz val="11"/>
            <color theme="1"/>
            <rFont val="Aptos Narrow"/>
            <family val="2"/>
            <scheme val="minor"/>
          </rPr>
          <t>Herfried Leitner:
The approx. consumtion of marine engines is about 200 grams diesel / kWh. 
Density of Diesel is 1.1834, which is used to convert from grams to liter.</t>
        </r>
      </text>
    </comment>
    <comment ref="E15" authorId="0" shapeId="0" xr:uid="{68156D42-A5E3-4A51-8659-C9A1F25A0845}">
      <text>
        <r>
          <rPr>
            <b/>
            <sz val="9"/>
            <color indexed="81"/>
            <rFont val="Segoe UI"/>
            <family val="2"/>
          </rPr>
          <t>Herfried LEITNER:</t>
        </r>
        <r>
          <rPr>
            <sz val="9"/>
            <color indexed="81"/>
            <rFont val="Segoe UI"/>
            <family val="2"/>
          </rPr>
          <t xml:space="preserve">
Please enter the optimum efficiency range of the engine (typically between 50% to 75% of maximum power)</t>
        </r>
      </text>
    </comment>
    <comment ref="B24" authorId="0" shapeId="0" xr:uid="{9C541D2A-9CAA-44D3-B80C-FA7E138E0571}">
      <text>
        <r>
          <rPr>
            <b/>
            <sz val="9"/>
            <color indexed="81"/>
            <rFont val="Segoe UI"/>
            <family val="2"/>
          </rPr>
          <t>Herfried LEITNER:</t>
        </r>
        <r>
          <rPr>
            <sz val="9"/>
            <color indexed="81"/>
            <rFont val="Segoe UI"/>
            <family val="2"/>
          </rPr>
          <t xml:space="preserve">
Please enter the tonnage capacity at the given average draught of the vessel in cm </t>
        </r>
      </text>
    </comment>
    <comment ref="C24" authorId="0" shapeId="0" xr:uid="{98D3D1FB-CB7C-4671-B62A-4F3FC17E3E66}">
      <text>
        <r>
          <rPr>
            <b/>
            <sz val="9"/>
            <color indexed="81"/>
            <rFont val="Segoe UI"/>
            <family val="2"/>
          </rPr>
          <t>Herfried LEITNER:</t>
        </r>
        <r>
          <rPr>
            <sz val="9"/>
            <color indexed="81"/>
            <rFont val="Segoe UI"/>
            <family val="2"/>
          </rPr>
          <t xml:space="preserve">
Please provide the loading capcity of the unit at the given draught on the left cell (e.g. @200cm the loading capacity is 1426 tons)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<sst xmlns="http://schemas.openxmlformats.org/spreadsheetml/2006/main" count="1437" uniqueCount="587">
  <si>
    <t>Objective of this cost calculation tool</t>
  </si>
  <si>
    <t>This excel spreadsheet is designed to enable interested parties to calculate the costs of IWW transport of containers on the Danube and connecting canals and waterways</t>
  </si>
  <si>
    <t>Structure of the tool</t>
  </si>
  <si>
    <t>Data to be entered is listed below.</t>
  </si>
  <si>
    <t>Data is entered in cells shaded as</t>
  </si>
  <si>
    <r>
      <t xml:space="preserve">Results of calculations are shown in </t>
    </r>
    <r>
      <rPr>
        <b/>
        <sz val="11"/>
        <color theme="1"/>
        <rFont val="Aptos Narrow"/>
        <family val="2"/>
        <scheme val="minor"/>
      </rPr>
      <t>bold</t>
    </r>
    <r>
      <rPr>
        <sz val="11"/>
        <color theme="1"/>
        <rFont val="Aptos Narrow"/>
        <family val="2"/>
        <scheme val="minor"/>
      </rPr>
      <t xml:space="preserve"> </t>
    </r>
  </si>
  <si>
    <t>Data on assets is entered in the Assets worksheet</t>
  </si>
  <si>
    <t>Data is required for ships, pushers, container barges and containers</t>
  </si>
  <si>
    <t>The data comprises, for rental or purchase of the assets, rental costs, purchase costs, remaining useful life, capacities of ships and barges</t>
  </si>
  <si>
    <t>Costs for repairs, insurance, cost of capital, error margin are entered as % of the summed asset costs and calculated per operating day</t>
  </si>
  <si>
    <t>Data for the Voyage is entered in the variable elements worksheet</t>
  </si>
  <si>
    <t>Variable costs to be entered are: gasoil price, gasoil consumption under way and when moored, grease consumption</t>
  </si>
  <si>
    <t>Required profitability</t>
  </si>
  <si>
    <t>Port of origin and destination on the Danube are entered from a drop down menu. Calculations are performed for a return trip</t>
  </si>
  <si>
    <t>The configuration of the ship or pusher train is entered from drop down menus</t>
  </si>
  <si>
    <t xml:space="preserve"> Whether the assests are owned or leased is entered from drop down menus</t>
  </si>
  <si>
    <t>Average operating speed upstram and downstream</t>
  </si>
  <si>
    <t xml:space="preserve">Number of loading units (barges and ship) </t>
  </si>
  <si>
    <t xml:space="preserve">Number of container barges </t>
  </si>
  <si>
    <t>Container capacities of ship and barges</t>
  </si>
  <si>
    <t xml:space="preserve">Utilisation rates of barges and ship upstream and downstream </t>
  </si>
  <si>
    <t xml:space="preserve">Crew operating mode (A1, A2, B) </t>
  </si>
  <si>
    <t>Crew costs</t>
  </si>
  <si>
    <t>Time required for Bunkering, bilge cleaning, water replenishment</t>
  </si>
  <si>
    <t xml:space="preserve"> Time allowance</t>
  </si>
  <si>
    <t>Waiting time at a lock</t>
  </si>
  <si>
    <t>Waiting times to load and discharge at origin and destination ports</t>
  </si>
  <si>
    <t>Loading and discharging times at origin and destination ports</t>
  </si>
  <si>
    <t>Terminal handling charges</t>
  </si>
  <si>
    <t>HELP DESK</t>
  </si>
  <si>
    <t>This worksheet shows typical values for fuel consumption calculations and loading/draught data. 
Crew cost data for different nationalities and crewoperating patterns (A1, A2, B) are shown. 
It also contains typical values for terminal chandling costs and first and last mile costs.</t>
  </si>
  <si>
    <t xml:space="preserve">Voyage
</t>
  </si>
  <si>
    <t xml:space="preserve">from </t>
  </si>
  <si>
    <t>to</t>
  </si>
  <si>
    <t>and vice versa.</t>
  </si>
  <si>
    <t>round-trip journey</t>
  </si>
  <si>
    <t>total hours</t>
  </si>
  <si>
    <t>downstream</t>
  </si>
  <si>
    <t xml:space="preserve">hours of sailing </t>
  </si>
  <si>
    <t>hours of standing</t>
  </si>
  <si>
    <t>upstream</t>
  </si>
  <si>
    <t xml:space="preserve">The round-trip journey was calculated to include the entire trip (incl. provisional times for bunkering, lock passages, etc.). Additionally, also the waiting times for loading/discharge and the time for both operations and in both ports, were included in the calculations. </t>
  </si>
  <si>
    <t xml:space="preserve">
CONFIGURATION
</t>
  </si>
  <si>
    <t>MCV (Ship) or Pusher+barges ENTER MCV or Push</t>
  </si>
  <si>
    <t>Own or rent MCV/pusher</t>
  </si>
  <si>
    <t>Own or rent barges</t>
  </si>
  <si>
    <t>Own or rent containers</t>
  </si>
  <si>
    <t>Total container capacity of the configuration</t>
  </si>
  <si>
    <t xml:space="preserve">
COSTS
</t>
  </si>
  <si>
    <t>With the chosen configuration the costs will be approximately</t>
  </si>
  <si>
    <t>Asset costs per day</t>
  </si>
  <si>
    <t xml:space="preserve">per operating day </t>
  </si>
  <si>
    <t xml:space="preserve">Variable costs per day </t>
  </si>
  <si>
    <t>per day</t>
  </si>
  <si>
    <t xml:space="preserve">Total cost per day </t>
  </si>
  <si>
    <t xml:space="preserve">per day - average over the round trip </t>
  </si>
  <si>
    <t xml:space="preserve">Considering a desired profitability of </t>
  </si>
  <si>
    <t>The cost for a round-trip is calculated as:</t>
  </si>
  <si>
    <t>The cost of these services will be approximately</t>
  </si>
  <si>
    <t xml:space="preserve">per utilized TEU. </t>
  </si>
  <si>
    <t xml:space="preserve"> </t>
  </si>
  <si>
    <t>Calculative cost per direction:</t>
  </si>
  <si>
    <t>utilization ratio</t>
  </si>
  <si>
    <t xml:space="preserve">Downstream </t>
  </si>
  <si>
    <t>Upstream</t>
  </si>
  <si>
    <t>Fuel and crew costs</t>
  </si>
  <si>
    <t>fuel cost per sailing hour</t>
  </si>
  <si>
    <t>fuel cost per waiting hour</t>
  </si>
  <si>
    <t>crew cost per operating day</t>
  </si>
  <si>
    <t>Extra costs to be considered from your side - for a full picture of your cost from origin to destination:</t>
  </si>
  <si>
    <t xml:space="preserve">     a. Port handling costs for origin port and destination port</t>
  </si>
  <si>
    <t xml:space="preserve">     b. First and last mile cost per truck or train</t>
  </si>
  <si>
    <t>Motor Cargo Vessel (MCV)</t>
  </si>
  <si>
    <t>Pusher</t>
  </si>
  <si>
    <t>Barge</t>
  </si>
  <si>
    <t>MM - Equipment      !!! Per TEU !!!</t>
  </si>
  <si>
    <t>Rent per day</t>
  </si>
  <si>
    <t>Purchase cost</t>
  </si>
  <si>
    <t># containers</t>
  </si>
  <si>
    <t>Remaining useful years</t>
  </si>
  <si>
    <t>Annual cost</t>
  </si>
  <si>
    <t xml:space="preserve">Maximum capacities in TEU's </t>
  </si>
  <si>
    <t>Accruals repairs - annually</t>
  </si>
  <si>
    <t>Insurance - annually</t>
  </si>
  <si>
    <t>Cost of capital - annually</t>
  </si>
  <si>
    <t>Unforeseen other cost</t>
  </si>
  <si>
    <t>Planned operating days / year</t>
  </si>
  <si>
    <r>
      <t xml:space="preserve">Calculative cost per operating day </t>
    </r>
    <r>
      <rPr>
        <b/>
        <sz val="11"/>
        <color theme="1"/>
        <rFont val="Aptos Narrow"/>
        <family val="2"/>
        <scheme val="minor"/>
      </rPr>
      <t>if rented</t>
    </r>
  </si>
  <si>
    <r>
      <t xml:space="preserve">Calculative cost per operating day </t>
    </r>
    <r>
      <rPr>
        <b/>
        <sz val="11"/>
        <color theme="1"/>
        <rFont val="Aptos Narrow"/>
        <family val="2"/>
        <scheme val="minor"/>
      </rPr>
      <t>if purchased</t>
    </r>
  </si>
  <si>
    <r>
      <t>Calculative cost per operating day</t>
    </r>
    <r>
      <rPr>
        <b/>
        <sz val="11"/>
        <color theme="1"/>
        <rFont val="Aptos Narrow"/>
        <family val="2"/>
        <scheme val="minor"/>
      </rPr>
      <t xml:space="preserve"> if rented</t>
    </r>
  </si>
  <si>
    <r>
      <rPr>
        <sz val="11"/>
        <color rgb="FF000000"/>
        <rFont val="Aptos Narrow"/>
      </rPr>
      <t>Calculative cost per operating day</t>
    </r>
    <r>
      <rPr>
        <b/>
        <sz val="11"/>
        <color rgb="FF000000"/>
        <rFont val="Aptos Narrow"/>
      </rPr>
      <t xml:space="preserve"> if rented</t>
    </r>
  </si>
  <si>
    <t>Calculative cost per operating day if purchased</t>
  </si>
  <si>
    <r>
      <rPr>
        <sz val="11"/>
        <color rgb="FF000000"/>
        <rFont val="Aptos Narrow"/>
        <scheme val="minor"/>
      </rPr>
      <t>Calculative cost per operating day</t>
    </r>
    <r>
      <rPr>
        <b/>
        <sz val="11"/>
        <color rgb="FF000000"/>
        <rFont val="Aptos Narrow"/>
        <scheme val="minor"/>
      </rPr>
      <t xml:space="preserve"> if rented</t>
    </r>
  </si>
  <si>
    <r>
      <rPr>
        <sz val="11"/>
        <color rgb="FF000000"/>
        <rFont val="Aptos Narrow"/>
        <scheme val="minor"/>
      </rPr>
      <t xml:space="preserve">Calculative cost per operating day </t>
    </r>
    <r>
      <rPr>
        <b/>
        <sz val="11"/>
        <color rgb="FF000000"/>
        <rFont val="Aptos Narrow"/>
        <scheme val="minor"/>
      </rPr>
      <t>if purchased</t>
    </r>
  </si>
  <si>
    <t>Variable cost - biz model</t>
  </si>
  <si>
    <t>Gasoil price in € per liter</t>
  </si>
  <si>
    <t>Gasoil consumption per operating hour &amp; in liters</t>
  </si>
  <si>
    <t>Gasoil consumption per standing hour &amp; in liters</t>
  </si>
  <si>
    <t>Grease consumption in value of gasoil</t>
  </si>
  <si>
    <t>Desired profitability of service line</t>
  </si>
  <si>
    <t>Planned service line in between Ports</t>
  </si>
  <si>
    <t>Port 1</t>
  </si>
  <si>
    <t>Port of Kelheim/Saal</t>
  </si>
  <si>
    <t>Port 2</t>
  </si>
  <si>
    <t>Port of Constanța</t>
  </si>
  <si>
    <t xml:space="preserve">Configuration of assets </t>
  </si>
  <si>
    <t>Configuration: MCV (Ship) or Pusher+barges ENTER MCV or Pusher</t>
  </si>
  <si>
    <t>Pusher and Barges</t>
  </si>
  <si>
    <t>OWN</t>
  </si>
  <si>
    <t>Configuration of services, sailing profile, etc.</t>
  </si>
  <si>
    <t>Average downstream speed on this route?</t>
  </si>
  <si>
    <t>Average upstream speed on this route?</t>
  </si>
  <si>
    <t>How many loading-units?</t>
  </si>
  <si>
    <t>How many loading-units for multimodal-equipment?</t>
  </si>
  <si>
    <t>Utilization ratio of multimodal-equipment downstream?</t>
  </si>
  <si>
    <t>Utilization ratio of multimodal-equipment upstream?</t>
  </si>
  <si>
    <t>Sailing regime - modus of operation (A1, A2 or B)</t>
  </si>
  <si>
    <t>A2</t>
  </si>
  <si>
    <t>crewing cost per operating day</t>
  </si>
  <si>
    <t>Bunkering, bilge, water</t>
  </si>
  <si>
    <t>want to calculate extra time?</t>
  </si>
  <si>
    <t>Waiting time at a lock?</t>
  </si>
  <si>
    <t>Configuration of port services</t>
  </si>
  <si>
    <r>
      <t xml:space="preserve">Waiting hours before loading commences in </t>
    </r>
    <r>
      <rPr>
        <b/>
        <sz val="11"/>
        <color theme="1"/>
        <rFont val="Aptos Narrow"/>
        <family val="2"/>
        <scheme val="minor"/>
      </rPr>
      <t>Port 1</t>
    </r>
  </si>
  <si>
    <r>
      <t xml:space="preserve">Total hours needed for loading in </t>
    </r>
    <r>
      <rPr>
        <b/>
        <sz val="11"/>
        <color theme="1"/>
        <rFont val="Aptos Narrow"/>
        <family val="2"/>
        <scheme val="minor"/>
      </rPr>
      <t>Port 1</t>
    </r>
  </si>
  <si>
    <r>
      <t xml:space="preserve">Waiting hours before discharging commences in </t>
    </r>
    <r>
      <rPr>
        <b/>
        <sz val="11"/>
        <color theme="1"/>
        <rFont val="Aptos Narrow"/>
        <family val="2"/>
        <scheme val="minor"/>
      </rPr>
      <t>Port 2</t>
    </r>
  </si>
  <si>
    <r>
      <t xml:space="preserve">Total hours needed for discharge in </t>
    </r>
    <r>
      <rPr>
        <b/>
        <sz val="11"/>
        <color theme="1"/>
        <rFont val="Aptos Narrow"/>
        <family val="2"/>
        <scheme val="minor"/>
      </rPr>
      <t>Port 2</t>
    </r>
  </si>
  <si>
    <r>
      <t xml:space="preserve">Waiting hours before loading commences in </t>
    </r>
    <r>
      <rPr>
        <b/>
        <sz val="11"/>
        <color theme="1"/>
        <rFont val="Aptos Narrow"/>
        <family val="2"/>
        <scheme val="minor"/>
      </rPr>
      <t>Port 2</t>
    </r>
  </si>
  <si>
    <r>
      <t xml:space="preserve">Total hours needed for loading in </t>
    </r>
    <r>
      <rPr>
        <b/>
        <sz val="11"/>
        <color theme="1"/>
        <rFont val="Aptos Narrow"/>
        <family val="2"/>
        <scheme val="minor"/>
      </rPr>
      <t>Port 2</t>
    </r>
  </si>
  <si>
    <r>
      <t xml:space="preserve">Waiting hours before discharging commences in </t>
    </r>
    <r>
      <rPr>
        <b/>
        <sz val="11"/>
        <color theme="1"/>
        <rFont val="Aptos Narrow"/>
        <family val="2"/>
        <scheme val="minor"/>
      </rPr>
      <t>Port 1</t>
    </r>
  </si>
  <si>
    <r>
      <t xml:space="preserve">Total hours needed for discharge in </t>
    </r>
    <r>
      <rPr>
        <b/>
        <sz val="11"/>
        <color theme="1"/>
        <rFont val="Aptos Narrow"/>
        <family val="2"/>
        <scheme val="minor"/>
      </rPr>
      <t>Port 1</t>
    </r>
  </si>
  <si>
    <t>Terminal handling charges in POL and POD in € / TEU / port</t>
  </si>
  <si>
    <t>Fuel consumption considerations</t>
  </si>
  <si>
    <t>Main engine(s)</t>
  </si>
  <si>
    <t>Total main engine(s) power in kW</t>
  </si>
  <si>
    <t>Gram per kWh</t>
  </si>
  <si>
    <t>Optimum operating range of main engine in %</t>
  </si>
  <si>
    <t>in HP (horse power)</t>
  </si>
  <si>
    <t>Approximate diesel consumption in liters / operating hour</t>
  </si>
  <si>
    <t>Bow thruster(s)</t>
  </si>
  <si>
    <t>Total bow thruster power in kW</t>
  </si>
  <si>
    <t>% of operating hours compared to total sailing hours</t>
  </si>
  <si>
    <t>Optimum operating range of bow thruster engine in %</t>
  </si>
  <si>
    <t>Generator(s)</t>
  </si>
  <si>
    <t>Main generator in kW</t>
  </si>
  <si>
    <t>Optimum operating range of main generator engine in %</t>
  </si>
  <si>
    <t>Approximate diesel consumption in liters / standing hour</t>
  </si>
  <si>
    <t>Loading considerations</t>
  </si>
  <si>
    <t>Draught of vessel in cm</t>
  </si>
  <si>
    <t>Loading capacity in tons</t>
  </si>
  <si>
    <t xml:space="preserve">Crewing cost </t>
  </si>
  <si>
    <t>Year: 2022</t>
  </si>
  <si>
    <r>
      <rPr>
        <b/>
        <sz val="16"/>
        <rFont val="Arial"/>
        <family val="2"/>
      </rPr>
      <t>A1</t>
    </r>
    <r>
      <rPr>
        <b/>
        <sz val="10"/>
        <rFont val="Arial"/>
        <family val="2"/>
      </rPr>
      <t xml:space="preserve"> - 14 hours travel (22-10 resting hours)</t>
    </r>
  </si>
  <si>
    <r>
      <rPr>
        <b/>
        <sz val="16"/>
        <rFont val="Arial"/>
        <family val="2"/>
      </rPr>
      <t>A2</t>
    </r>
    <r>
      <rPr>
        <b/>
        <sz val="10"/>
        <rFont val="Arial"/>
        <family val="2"/>
      </rPr>
      <t xml:space="preserve"> - 18 hours travel (23 - 6 resting hours)</t>
    </r>
  </si>
  <si>
    <r>
      <rPr>
        <b/>
        <sz val="16"/>
        <rFont val="Arial"/>
        <family val="2"/>
      </rPr>
      <t>B</t>
    </r>
    <r>
      <rPr>
        <b/>
        <sz val="10"/>
        <rFont val="Arial"/>
        <family val="2"/>
      </rPr>
      <t xml:space="preserve"> - travel 24 hours</t>
    </r>
  </si>
  <si>
    <t>MCV</t>
  </si>
  <si>
    <t xml:space="preserve">A1    </t>
  </si>
  <si>
    <t>HU Crew</t>
  </si>
  <si>
    <t>SRB Crew</t>
  </si>
  <si>
    <t>UA Crew</t>
  </si>
  <si>
    <t xml:space="preserve">A2    </t>
  </si>
  <si>
    <t xml:space="preserve">B    </t>
  </si>
  <si>
    <t>Euro / day</t>
  </si>
  <si>
    <t xml:space="preserve">Euro / month </t>
  </si>
  <si>
    <t>Pusher + 1 lighter</t>
  </si>
  <si>
    <t>Pusher +2 Lighters</t>
  </si>
  <si>
    <t>Pusher + 2 Lighters</t>
  </si>
  <si>
    <t>Pusher + 3-4 Barges</t>
  </si>
  <si>
    <t>Pusher + 5 or more Barges</t>
  </si>
  <si>
    <t>First and last mile transportation cost</t>
  </si>
  <si>
    <t> </t>
  </si>
  <si>
    <t xml:space="preserve">First and last Mile transportation cost can be costly, specifically if only a single trip with one container.  In combination with more round-trips per day, the cost will significantly decrease. Indicative we provide approximate cost for single and multiple trips per container-size and for a distance of about 50 km from depot and/or port.   </t>
  </si>
  <si>
    <t xml:space="preserve">20' ft. single trip </t>
  </si>
  <si>
    <t xml:space="preserve">40' ft. single trip </t>
  </si>
  <si>
    <t xml:space="preserve"> €       160,00</t>
  </si>
  <si>
    <t xml:space="preserve"> €       200,00</t>
  </si>
  <si>
    <t xml:space="preserve">20' ft. multiple trip </t>
  </si>
  <si>
    <t xml:space="preserve">40' ft. multiple trip </t>
  </si>
  <si>
    <t xml:space="preserve"> €       130,00</t>
  </si>
  <si>
    <t xml:space="preserve"> €       150,00</t>
  </si>
  <si>
    <t>Terminal handing charges</t>
  </si>
  <si>
    <t xml:space="preserve">Terminal handling charges are often subject to volume negotiations with the respective ports. The cost we provide in section are indicative rates and might only be achieve if frequencey and total yearly volumes are guaranteed. However the indications provided are approximate values for the terminal handling services given to ocean carriers. </t>
  </si>
  <si>
    <t xml:space="preserve">20' ft. </t>
  </si>
  <si>
    <t xml:space="preserve">40' ft. </t>
  </si>
  <si>
    <t xml:space="preserve"> €          35,00</t>
  </si>
  <si>
    <t xml:space="preserve"> €          45,00</t>
  </si>
  <si>
    <t>Voyage planning</t>
  </si>
  <si>
    <t>distance</t>
  </si>
  <si>
    <t xml:space="preserve"> km and locks from database table of ports</t>
  </si>
  <si>
    <t>port of Loading</t>
  </si>
  <si>
    <t>Port of discharge</t>
  </si>
  <si>
    <t>no. locks</t>
  </si>
  <si>
    <t>Waiting time locks</t>
  </si>
  <si>
    <t>time downstream</t>
  </si>
  <si>
    <t>time upstream</t>
  </si>
  <si>
    <t>no of hours under way</t>
  </si>
  <si>
    <t>number of hours waiting</t>
  </si>
  <si>
    <t>total operational hours</t>
  </si>
  <si>
    <t>crew resting time per 24 hours</t>
  </si>
  <si>
    <t>These are not for user input, as these are legal numbers</t>
  </si>
  <si>
    <t>crew resting time voyage</t>
  </si>
  <si>
    <t>voyage time hours</t>
  </si>
  <si>
    <t>voyage time days</t>
  </si>
  <si>
    <t>round trip hours</t>
  </si>
  <si>
    <t>round trip days</t>
  </si>
  <si>
    <t>max number of teus</t>
  </si>
  <si>
    <t>cost proportion no of container barges or MCV + barges/ total mcv + barges</t>
  </si>
  <si>
    <t>calculate CAPEX per operating day from configuration in variable elements and assets cost info allow for different numbers of TEUupstream and downstream cost/day from assets sheet</t>
  </si>
  <si>
    <t xml:space="preserve">Ship </t>
  </si>
  <si>
    <t>Containers</t>
  </si>
  <si>
    <t>CAPEX total</t>
  </si>
  <si>
    <t>fuel costs when under way per hour</t>
  </si>
  <si>
    <t>fuel costs when under way for the voyage</t>
  </si>
  <si>
    <t>fuel costs when under way per day</t>
  </si>
  <si>
    <t xml:space="preserve">Fuel costs under way per day downstream and upstream </t>
  </si>
  <si>
    <t>Fuel costs stopped per hour</t>
  </si>
  <si>
    <t>Fuel costs stopped for the voyage</t>
  </si>
  <si>
    <t>Fuel costs stopped per day</t>
  </si>
  <si>
    <t>Fuel costs waiting per day downstream and upstream</t>
  </si>
  <si>
    <t>total fuel costs per day average downstream and  upstream</t>
  </si>
  <si>
    <t xml:space="preserve">OPEX </t>
  </si>
  <si>
    <t>OPEX per day average over downstream and upstream</t>
  </si>
  <si>
    <t>days</t>
  </si>
  <si>
    <t>% Markup</t>
  </si>
  <si>
    <t>opex+capex/day with markup</t>
  </si>
  <si>
    <t>cost per TEU  up and down voyages separate</t>
  </si>
  <si>
    <t>total cost for the trip</t>
  </si>
  <si>
    <t>average utilisation factor</t>
  </si>
  <si>
    <t>cost per teu transported (total teu downstream and upstream)</t>
  </si>
  <si>
    <t>add up TEUs for downstream and upstream</t>
  </si>
  <si>
    <t>Typ</t>
  </si>
  <si>
    <t>Waterway</t>
  </si>
  <si>
    <t>rkm</t>
  </si>
  <si>
    <t>bank</t>
  </si>
  <si>
    <t>Name</t>
  </si>
  <si>
    <t>country</t>
  </si>
  <si>
    <t>Latitude</t>
  </si>
  <si>
    <t>Longitude</t>
  </si>
  <si>
    <t>Container</t>
  </si>
  <si>
    <t>lock width</t>
  </si>
  <si>
    <t>lock length</t>
  </si>
  <si>
    <t>lock</t>
  </si>
  <si>
    <t>Danube</t>
  </si>
  <si>
    <t>Bad Abbach</t>
  </si>
  <si>
    <t/>
  </si>
  <si>
    <t>48.946790</t>
  </si>
  <si>
    <t>12.012374</t>
  </si>
  <si>
    <t>Regensburg</t>
  </si>
  <si>
    <t>49.026557</t>
  </si>
  <si>
    <t>12.097266</t>
  </si>
  <si>
    <t>true</t>
  </si>
  <si>
    <t>Geisling</t>
  </si>
  <si>
    <t>48.977266</t>
  </si>
  <si>
    <t>12.343850</t>
  </si>
  <si>
    <t>Straubing</t>
  </si>
  <si>
    <t>48.899905</t>
  </si>
  <si>
    <t>12.553736</t>
  </si>
  <si>
    <t>Kachlet</t>
  </si>
  <si>
    <t>48.579728</t>
  </si>
  <si>
    <t>13.409459</t>
  </si>
  <si>
    <t>Jochenstein</t>
  </si>
  <si>
    <t>48.518705</t>
  </si>
  <si>
    <t>13.709524</t>
  </si>
  <si>
    <t>right</t>
  </si>
  <si>
    <t>Aschach</t>
  </si>
  <si>
    <t>48.385696</t>
  </si>
  <si>
    <t>14.020581</t>
  </si>
  <si>
    <t>left</t>
  </si>
  <si>
    <t>Ottensheim</t>
  </si>
  <si>
    <t>48.318526</t>
  </si>
  <si>
    <t>14.148086</t>
  </si>
  <si>
    <t>Abwinden</t>
  </si>
  <si>
    <t>48.250805</t>
  </si>
  <si>
    <t>14.430888</t>
  </si>
  <si>
    <t>Wallsee</t>
  </si>
  <si>
    <t>48.168997</t>
  </si>
  <si>
    <t>14.692179</t>
  </si>
  <si>
    <t>Persenbeug</t>
  </si>
  <si>
    <t>48.190616</t>
  </si>
  <si>
    <t>15.073124</t>
  </si>
  <si>
    <t>Melk</t>
  </si>
  <si>
    <t>48.226010</t>
  </si>
  <si>
    <t>15.301709</t>
  </si>
  <si>
    <t>Altenwörth</t>
  </si>
  <si>
    <t>48.377902</t>
  </si>
  <si>
    <t>15.856185</t>
  </si>
  <si>
    <t>Greifenstein</t>
  </si>
  <si>
    <t>48.352083</t>
  </si>
  <si>
    <t>16.240984</t>
  </si>
  <si>
    <t>Freudenau</t>
  </si>
  <si>
    <t>48.176399</t>
  </si>
  <si>
    <t>16.478172</t>
  </si>
  <si>
    <t>Gabcikovo</t>
  </si>
  <si>
    <t>47.883039</t>
  </si>
  <si>
    <t>17.540028</t>
  </si>
  <si>
    <t>Iron Gate I</t>
  </si>
  <si>
    <t>44.671031</t>
  </si>
  <si>
    <t>22.528931</t>
  </si>
  <si>
    <t>Iron Gate II</t>
  </si>
  <si>
    <t>44.306216</t>
  </si>
  <si>
    <t>22.566713</t>
  </si>
  <si>
    <t>Danube-Black Sea Canal</t>
  </si>
  <si>
    <t>Cernavodă Ecluze</t>
  </si>
  <si>
    <t>44.313229</t>
  </si>
  <si>
    <t>28.045189</t>
  </si>
  <si>
    <t>Ecluza Agigea</t>
  </si>
  <si>
    <t>44.100309</t>
  </si>
  <si>
    <t>28.620012</t>
  </si>
  <si>
    <t>port</t>
  </si>
  <si>
    <t>DE</t>
  </si>
  <si>
    <t>48.909253</t>
  </si>
  <si>
    <t>11.915417</t>
  </si>
  <si>
    <t>Port of Linz Handelshafen</t>
  </si>
  <si>
    <t>trimodal terminal</t>
  </si>
  <si>
    <t>Port of Regensburg (Westhafen)</t>
  </si>
  <si>
    <t>49.018389</t>
  </si>
  <si>
    <t>12.128531</t>
  </si>
  <si>
    <t>Port of Regensburg (Osthafen)</t>
  </si>
  <si>
    <t>49.011198</t>
  </si>
  <si>
    <t>12.168142</t>
  </si>
  <si>
    <t>Port of Straubing-Sand</t>
  </si>
  <si>
    <t>48.904207</t>
  </si>
  <si>
    <t>12.661100</t>
  </si>
  <si>
    <t>Port of Dunavecse</t>
  </si>
  <si>
    <t>Port of Deggendorf</t>
  </si>
  <si>
    <t>48.823133</t>
  </si>
  <si>
    <t>12.965935</t>
  </si>
  <si>
    <t>Port of Passau</t>
  </si>
  <si>
    <t>48.593666</t>
  </si>
  <si>
    <t>13.385414</t>
  </si>
  <si>
    <t>no. locks in voyage</t>
  </si>
  <si>
    <t>Transshipment Site in Aschach</t>
  </si>
  <si>
    <t>AT</t>
  </si>
  <si>
    <t>48.360247</t>
  </si>
  <si>
    <t>14.023273</t>
  </si>
  <si>
    <t xml:space="preserve">48.313193 </t>
  </si>
  <si>
    <t xml:space="preserve">14.322063  </t>
  </si>
  <si>
    <t>Port of Linz Tankhafen</t>
  </si>
  <si>
    <t>48.293622</t>
  </si>
  <si>
    <t>14.332870</t>
  </si>
  <si>
    <t>Port of Linz Voestalpine</t>
  </si>
  <si>
    <t>48.281585</t>
  </si>
  <si>
    <t>14.336383</t>
  </si>
  <si>
    <t>Port of Enns / Ennsdorf Hafenbecken West</t>
  </si>
  <si>
    <t>48.236433</t>
  </si>
  <si>
    <t>14.509383</t>
  </si>
  <si>
    <t>Port of Enns / Ennsdorf Hafenbecken Ost</t>
  </si>
  <si>
    <t>48.227852</t>
  </si>
  <si>
    <t>14.510733</t>
  </si>
  <si>
    <t>Port of Ybbs</t>
  </si>
  <si>
    <t>48.171065</t>
  </si>
  <si>
    <t>15.093263</t>
  </si>
  <si>
    <t>Transshipment Site in Pöchlarn</t>
  </si>
  <si>
    <t>48.213862</t>
  </si>
  <si>
    <t>15.223740</t>
  </si>
  <si>
    <t>Port of Krems</t>
  </si>
  <si>
    <t>48.403678</t>
  </si>
  <si>
    <t>15.645098</t>
  </si>
  <si>
    <t>Transshipment Site in Pischelsdorf</t>
  </si>
  <si>
    <t>48.338385</t>
  </si>
  <si>
    <t>15.950813</t>
  </si>
  <si>
    <t>Transshipment Site in Korneuburg</t>
  </si>
  <si>
    <t>48.332888</t>
  </si>
  <si>
    <t>16.329496</t>
  </si>
  <si>
    <t>Port of Vienna (Freudenau)</t>
  </si>
  <si>
    <t>48.176851</t>
  </si>
  <si>
    <t>16.470036</t>
  </si>
  <si>
    <t>Port of Vienna (Albern)</t>
  </si>
  <si>
    <t>48.159678</t>
  </si>
  <si>
    <t>16.499492</t>
  </si>
  <si>
    <t>Port of Vienna (Lobau)</t>
  </si>
  <si>
    <t>48.161190</t>
  </si>
  <si>
    <t>16.520248</t>
  </si>
  <si>
    <t>Port of Bratislava</t>
  </si>
  <si>
    <t>SK</t>
  </si>
  <si>
    <t>48.130556</t>
  </si>
  <si>
    <t>17.145000</t>
  </si>
  <si>
    <t>Port of Győr-Gönyű</t>
  </si>
  <si>
    <t>HU</t>
  </si>
  <si>
    <t>47.732249</t>
  </si>
  <si>
    <t>17.768720</t>
  </si>
  <si>
    <t>Port of Komárom</t>
  </si>
  <si>
    <t>47.749117</t>
  </si>
  <si>
    <t>18.124300</t>
  </si>
  <si>
    <t>Port of Komárno</t>
  </si>
  <si>
    <t>47.759484</t>
  </si>
  <si>
    <t>18.106008</t>
  </si>
  <si>
    <t>Port of Nyergesújfalu</t>
  </si>
  <si>
    <t>47.75587</t>
  </si>
  <si>
    <t>18.52273</t>
  </si>
  <si>
    <t>Port of Štúrovo</t>
  </si>
  <si>
    <t>47.780807</t>
  </si>
  <si>
    <t>18.705086</t>
  </si>
  <si>
    <t>Port of Budapest</t>
  </si>
  <si>
    <t>47.443709</t>
  </si>
  <si>
    <t>19.06074</t>
  </si>
  <si>
    <t>Port of Százhalombatta</t>
  </si>
  <si>
    <t>47.291218</t>
  </si>
  <si>
    <t>18.914659</t>
  </si>
  <si>
    <t>Port of Adony</t>
  </si>
  <si>
    <t>47.10894</t>
  </si>
  <si>
    <t>18.87741</t>
  </si>
  <si>
    <t>Port of Dunaújváros</t>
  </si>
  <si>
    <t>46.97015</t>
  </si>
  <si>
    <t>18.94549</t>
  </si>
  <si>
    <t>46.90711</t>
  </si>
  <si>
    <t>18.96494</t>
  </si>
  <si>
    <t>Transshipment Site in Dunaföldvár</t>
  </si>
  <si>
    <t xml:space="preserve">46.808285 </t>
  </si>
  <si>
    <t>18.942491</t>
  </si>
  <si>
    <t>Port of Paks</t>
  </si>
  <si>
    <t>46.60556</t>
  </si>
  <si>
    <t>18.85374</t>
  </si>
  <si>
    <t>Transshipment site Foktö</t>
  </si>
  <si>
    <t>46.541170</t>
  </si>
  <si>
    <t>18.899498</t>
  </si>
  <si>
    <t>Port of Foktö</t>
  </si>
  <si>
    <t>46.541502</t>
  </si>
  <si>
    <t>18.900086</t>
  </si>
  <si>
    <t>Port of Bogyiszlo</t>
  </si>
  <si>
    <t>46.42326</t>
  </si>
  <si>
    <t>18.89416</t>
  </si>
  <si>
    <t>Port of Baja</t>
  </si>
  <si>
    <t>46.185297</t>
  </si>
  <si>
    <t>18.927019</t>
  </si>
  <si>
    <t>Port of Mohács</t>
  </si>
  <si>
    <t>46.011935</t>
  </si>
  <si>
    <t>18.681370</t>
  </si>
  <si>
    <t>Port of Apatin</t>
  </si>
  <si>
    <t>RS</t>
  </si>
  <si>
    <t>45.67886</t>
  </si>
  <si>
    <t>18.96543</t>
  </si>
  <si>
    <t>Port of Bogojevo</t>
  </si>
  <si>
    <t>HR</t>
  </si>
  <si>
    <t>45.52677</t>
  </si>
  <si>
    <t>19.08512</t>
  </si>
  <si>
    <t>Port of Vukovar</t>
  </si>
  <si>
    <t>45.363631</t>
  </si>
  <si>
    <t>18.986483</t>
  </si>
  <si>
    <t>Port of Bačka Palanka</t>
  </si>
  <si>
    <t>45.23801</t>
  </si>
  <si>
    <t>19.42306</t>
  </si>
  <si>
    <t>Port of Beočin</t>
  </si>
  <si>
    <t>45.215488</t>
  </si>
  <si>
    <t>19.702924</t>
  </si>
  <si>
    <t>Port of Novi Sad</t>
  </si>
  <si>
    <t>45.269979</t>
  </si>
  <si>
    <t>19.858198</t>
  </si>
  <si>
    <t>Port of Belgrade</t>
  </si>
  <si>
    <t>44.824229</t>
  </si>
  <si>
    <t>20.476340</t>
  </si>
  <si>
    <t>Port of Pančevo</t>
  </si>
  <si>
    <t>44.85185</t>
  </si>
  <si>
    <t>20.64074</t>
  </si>
  <si>
    <t>Port of Smederevo</t>
  </si>
  <si>
    <t>44.66883</t>
  </si>
  <si>
    <t>20.92106</t>
  </si>
  <si>
    <t>Port of Moldova Veche</t>
  </si>
  <si>
    <t>RO</t>
  </si>
  <si>
    <t>44.72652</t>
  </si>
  <si>
    <t>21.6135</t>
  </si>
  <si>
    <t>Port of Orşova</t>
  </si>
  <si>
    <t>44.72784</t>
  </si>
  <si>
    <t>22.41314</t>
  </si>
  <si>
    <t>Port of Drobeta-Turnu Severin</t>
  </si>
  <si>
    <t>44.61626</t>
  </si>
  <si>
    <t>22.65209</t>
  </si>
  <si>
    <t>Port of Prahovo</t>
  </si>
  <si>
    <t>44.29234</t>
  </si>
  <si>
    <t>22.61081</t>
  </si>
  <si>
    <t>Port of Calafat</t>
  </si>
  <si>
    <t>43.997304</t>
  </si>
  <si>
    <t>22.929749</t>
  </si>
  <si>
    <t>Port of Vidin</t>
  </si>
  <si>
    <t>BG</t>
  </si>
  <si>
    <t>43.98612</t>
  </si>
  <si>
    <t>22.88216</t>
  </si>
  <si>
    <t>Port of Lom</t>
  </si>
  <si>
    <t>43.83038</t>
  </si>
  <si>
    <t>23.24257</t>
  </si>
  <si>
    <t>Port of Bechet</t>
  </si>
  <si>
    <t>43.748721</t>
  </si>
  <si>
    <t>23.962002</t>
  </si>
  <si>
    <t>Port of Beсhet</t>
  </si>
  <si>
    <t>43.748924</t>
  </si>
  <si>
    <t>23.957338</t>
  </si>
  <si>
    <t>Port of Oryahovo</t>
  </si>
  <si>
    <t>43.73904</t>
  </si>
  <si>
    <t>23.96873</t>
  </si>
  <si>
    <t>Port of Corabia</t>
  </si>
  <si>
    <t>43.771480</t>
  </si>
  <si>
    <t>24.534987</t>
  </si>
  <si>
    <t>Port of Somovit</t>
  </si>
  <si>
    <t>43.691158</t>
  </si>
  <si>
    <t>24.772635</t>
  </si>
  <si>
    <t>Port of Turnu Măgurele</t>
  </si>
  <si>
    <t>43.714323</t>
  </si>
  <si>
    <t>24.896464</t>
  </si>
  <si>
    <t>Port of Belene</t>
  </si>
  <si>
    <t>43.636666</t>
  </si>
  <si>
    <t>25.208055</t>
  </si>
  <si>
    <t>Port of Sviloza (Svishtov West)</t>
  </si>
  <si>
    <t>43.623932</t>
  </si>
  <si>
    <t>25.345016</t>
  </si>
  <si>
    <t>Port of Svishtov</t>
  </si>
  <si>
    <t>43.646564</t>
  </si>
  <si>
    <t>25.308006</t>
  </si>
  <si>
    <t>Port of Zimnicea</t>
  </si>
  <si>
    <t>43.628792</t>
  </si>
  <si>
    <t>25.362049</t>
  </si>
  <si>
    <t>Port of Ruse West</t>
  </si>
  <si>
    <t>43.841689</t>
  </si>
  <si>
    <t>25.940265</t>
  </si>
  <si>
    <t>Port of Ruse</t>
  </si>
  <si>
    <t>43.877928</t>
  </si>
  <si>
    <t>25.999270</t>
  </si>
  <si>
    <t>Port of Giurgiu</t>
  </si>
  <si>
    <t>43.88791</t>
  </si>
  <si>
    <t xml:space="preserve">25.9752 </t>
  </si>
  <si>
    <t>Port of Tutrakan</t>
  </si>
  <si>
    <t>44.052035</t>
  </si>
  <si>
    <t>26.611171</t>
  </si>
  <si>
    <t>Port of Oltenița</t>
  </si>
  <si>
    <t>44.063457</t>
  </si>
  <si>
    <t>26.641068</t>
  </si>
  <si>
    <t>Port of Silistra</t>
  </si>
  <si>
    <t>44.115397</t>
  </si>
  <si>
    <t>27.198151</t>
  </si>
  <si>
    <t>Port of Calarasi</t>
  </si>
  <si>
    <t>44.185846</t>
  </si>
  <si>
    <t>27.339050</t>
  </si>
  <si>
    <t>Port of Cernavodă</t>
  </si>
  <si>
    <t>44.33428</t>
  </si>
  <si>
    <t>28.03393</t>
  </si>
  <si>
    <t>Port of Harsova</t>
  </si>
  <si>
    <t>44.683660</t>
  </si>
  <si>
    <t>27.960945</t>
  </si>
  <si>
    <t>Port of Brăila</t>
  </si>
  <si>
    <t>45.247844</t>
  </si>
  <si>
    <t>27.964826</t>
  </si>
  <si>
    <t>Port of Galați</t>
  </si>
  <si>
    <t>45.442785</t>
  </si>
  <si>
    <t>28.094238</t>
  </si>
  <si>
    <t>Port of Giurgiulești</t>
  </si>
  <si>
    <t>MD</t>
  </si>
  <si>
    <t>45.468974</t>
  </si>
  <si>
    <t>28.210349</t>
  </si>
  <si>
    <t>Port of Reni</t>
  </si>
  <si>
    <t>UA</t>
  </si>
  <si>
    <t>45.416400</t>
  </si>
  <si>
    <t>28.287875</t>
  </si>
  <si>
    <t>Port of Izmail</t>
  </si>
  <si>
    <t>45.331168</t>
  </si>
  <si>
    <t>28.828113</t>
  </si>
  <si>
    <t>Port of Tulcea</t>
  </si>
  <si>
    <t>45.191386</t>
  </si>
  <si>
    <t>28.788136</t>
  </si>
  <si>
    <t>Port of Kilija</t>
  </si>
  <si>
    <t>45.440109</t>
  </si>
  <si>
    <t>29.258126</t>
  </si>
  <si>
    <t>Port of Medgidia</t>
  </si>
  <si>
    <t>44.24825</t>
  </si>
  <si>
    <t>28.28675</t>
  </si>
  <si>
    <t>Port of Murfatlar / Basarabi</t>
  </si>
  <si>
    <t>44.178032</t>
  </si>
  <si>
    <t>28.395802</t>
  </si>
  <si>
    <t>Port of Ust-Dunaysk</t>
  </si>
  <si>
    <t>45.466993</t>
  </si>
  <si>
    <t>29.711874</t>
  </si>
  <si>
    <t>Danube - Sulina arm</t>
  </si>
  <si>
    <t>Port of Sulina</t>
  </si>
  <si>
    <t>45.157299</t>
  </si>
  <si>
    <t>29.662328</t>
  </si>
  <si>
    <t>44.108890</t>
  </si>
  <si>
    <t>28.649316</t>
  </si>
  <si>
    <t>Constanta is on a branch, which misses the first two locks</t>
  </si>
  <si>
    <t>ports</t>
  </si>
  <si>
    <t>crew nationality</t>
  </si>
  <si>
    <t>Crew mode</t>
  </si>
  <si>
    <t>Vessel type</t>
  </si>
  <si>
    <t>Own or lease</t>
  </si>
  <si>
    <t xml:space="preserve">HU </t>
  </si>
  <si>
    <t>A1</t>
  </si>
  <si>
    <t>SRB</t>
  </si>
  <si>
    <t>LEASE</t>
  </si>
  <si>
    <t>B</t>
  </si>
  <si>
    <t>NONE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</si>
</sst>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 #,##0.00_-;_-* &quot;-&quot;??_-;_-@_-"/>
    <numFmt numFmtId="165" formatCode="_-[$€-C07]\ * #,##0.00_-;\-[$€-C07]\ * #,##0.00_-;_-[$€-C07]\ * &quot;-&quot;??_-;_-@_-"/>
    <numFmt numFmtId="166" formatCode="0.0"/>
    <numFmt numFmtId="167" formatCode="#,##0.00\ &quot;€&quot;"/>
    <numFmt numFmtId="168" formatCode="#,##0\ [$€-1]"/>
  </numFmts>
  <fonts count="41">
    <font>
      <sz val="11"/>
      <color theme="1"/>
      <name val="Aptos Narrow"/>
      <family val="2"/>
      <scheme val="minor"/>
    </font>
    <font>
      <sz val="11"/>
      <color theme="1"/>
      <name val="Aptos Narrow"/>
      <family val="2"/>
      <scheme val="minor"/>
    </font>
    <font>
      <b/>
      <sz val="11"/>
      <color theme="1"/>
      <name val="Aptos Narrow"/>
      <family val="2"/>
      <scheme val="minor"/>
    </font>
    <font>
      <sz val="9"/>
      <color indexed="81"/>
      <name val="Segoe UI"/>
      <charset val="1"/>
    </font>
    <font>
      <b/>
      <sz val="9"/>
      <color indexed="81"/>
      <name val="Segoe UI"/>
      <charset val="1"/>
    </font>
    <font>
      <sz val="9"/>
      <color indexed="81"/>
      <name val="Segoe UI"/>
      <family val="2"/>
    </font>
    <font>
      <b/>
      <sz val="9"/>
      <color indexed="81"/>
      <name val="Segoe UI"/>
      <family val="2"/>
    </font>
    <font>
      <sz val="10"/>
      <name val="Arial"/>
      <family val="2"/>
    </font>
    <font>
      <b/>
      <sz val="14"/>
      <color theme="1"/>
      <name val="Aptos Narrow"/>
      <family val="2"/>
      <scheme val="minor"/>
    </font>
    <font>
      <b/>
      <sz val="10"/>
      <name val="Arial"/>
      <family val="2"/>
    </font>
    <font>
      <b/>
      <sz val="16"/>
      <name val="Arial"/>
      <family val="2"/>
    </font>
    <font>
      <b/>
      <sz val="10"/>
      <color rgb="FFFF0000"/>
      <name val="Arial"/>
      <family val="2"/>
    </font>
    <font>
      <b/>
      <sz val="11"/>
      <name val="Calibri"/>
      <family val="2"/>
    </font>
    <font>
      <sz val="11"/>
      <color rgb="FF202124"/>
      <name val="Aptos Narrow"/>
      <family val="2"/>
      <scheme val="minor"/>
    </font>
    <font>
      <sz val="11"/>
      <name val="Aptos Narrow"/>
      <family val="2"/>
      <scheme val="minor"/>
    </font>
    <font>
      <b/>
      <sz val="11"/>
      <color rgb="FFFF0000"/>
      <name val="Aptos Narrow"/>
      <family val="2"/>
      <scheme val="minor"/>
    </font>
    <font>
      <u/>
      <sz val="11"/>
      <color theme="10"/>
      <name val="Aptos Narrow"/>
      <family val="2"/>
      <scheme val="minor"/>
    </font>
    <font>
      <sz val="11"/>
      <color rgb="FF000000"/>
      <name val="Aptos Narrow"/>
      <scheme val="minor"/>
    </font>
    <font>
      <b/>
      <sz val="11"/>
      <color rgb="FF000000"/>
      <name val="Aptos Narrow"/>
      <scheme val="minor"/>
    </font>
    <font>
      <b/>
      <sz val="11"/>
      <name val="Aptos Narrow"/>
      <family val="2"/>
      <scheme val="minor"/>
    </font>
    <font>
      <sz val="11"/>
      <color rgb="FFFF0000"/>
      <name val="Aptos Narrow"/>
      <family val="2"/>
      <scheme val="minor"/>
    </font>
    <font>
      <sz val="14"/>
      <color theme="1"/>
      <name val="Aptos Narrow"/>
      <family val="2"/>
      <scheme val="minor"/>
    </font>
    <font>
      <sz val="14"/>
      <color rgb="FFFF0000"/>
      <name val="Aptos Narrow"/>
      <family val="2"/>
      <scheme val="minor"/>
    </font>
    <font>
      <b/>
      <sz val="14"/>
      <name val="Aptos Narrow"/>
      <family val="2"/>
      <scheme val="minor"/>
    </font>
    <font>
      <b/>
      <sz val="14"/>
      <color theme="1"/>
      <name val="Aptos Narrow"/>
      <family val="2"/>
    </font>
    <font>
      <b/>
      <i/>
      <sz val="14"/>
      <color theme="1"/>
      <name val="Aptos Narrow"/>
      <family val="2"/>
    </font>
    <font>
      <sz val="14"/>
      <color theme="1"/>
      <name val="Aptos Narrow"/>
      <family val="2"/>
    </font>
    <font>
      <sz val="14"/>
      <name val="Aptos Narrow"/>
      <family val="2"/>
    </font>
    <font>
      <b/>
      <sz val="14"/>
      <name val="Aptos Narrow"/>
      <family val="2"/>
    </font>
    <font>
      <b/>
      <i/>
      <sz val="14"/>
      <name val="Aptos Narrow"/>
      <family val="2"/>
    </font>
    <font>
      <b/>
      <sz val="18"/>
      <color theme="1"/>
      <name val="Aptos Narrow"/>
      <family val="2"/>
    </font>
    <font>
      <b/>
      <i/>
      <sz val="14"/>
      <color theme="2" tint="-0.249977111117893"/>
      <name val="Aptos Narrow"/>
      <family val="2"/>
    </font>
    <font>
      <b/>
      <sz val="14"/>
      <color theme="2" tint="-0.249977111117893"/>
      <name val="Aptos Narrow"/>
      <family val="2"/>
    </font>
    <font>
      <b/>
      <i/>
      <sz val="14"/>
      <color theme="2" tint="-0.499984740745262"/>
      <name val="Aptos Narrow"/>
      <family val="2"/>
    </font>
    <font>
      <b/>
      <sz val="14"/>
      <color theme="2" tint="-0.499984740745262"/>
      <name val="Aptos Narrow"/>
      <family val="2"/>
    </font>
    <font>
      <sz val="11"/>
      <color rgb="FF000000"/>
      <name val="Aptos Narrow"/>
    </font>
    <font>
      <b/>
      <sz val="11"/>
      <color rgb="FF000000"/>
      <name val="Aptos Narrow"/>
    </font>
    <font>
      <b/>
      <sz val="11"/>
      <color rgb="FF000000"/>
      <name val="Aptos Narrow"/>
      <family val="2"/>
    </font>
    <font>
      <sz val="11"/>
      <color rgb="FF000000"/>
      <name val="Aptos Narrow"/>
      <family val="2"/>
    </font>
    <font>
      <b/>
      <sz val="10"/>
      <color theme="0"/>
      <name val="Arial"/>
      <family val="2"/>
    </font>
    <font>
      <sz val="10"/>
      <color theme="0"/>
      <name val="Arial"/>
      <family val="2"/>
    </font>
  </fonts>
  <fills count="25">
    <fill>
      <patternFill patternType="none"/>
    </fill>
    <fill>
      <patternFill patternType="gray125"/>
    </fill>
    <fill>
      <patternFill patternType="solid">
        <fgColor theme="3" tint="0.89999084444715716"/>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gray0625">
        <bgColor theme="0" tint="-4.9989318521683403E-2"/>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F4F498"/>
        <bgColor indexed="64"/>
      </patternFill>
    </fill>
    <fill>
      <patternFill patternType="solid">
        <fgColor indexed="5"/>
        <bgColor indexed="5"/>
      </patternFill>
    </fill>
    <fill>
      <patternFill patternType="solid">
        <fgColor theme="4"/>
        <bgColor theme="4"/>
      </patternFill>
    </fill>
    <fill>
      <patternFill patternType="solid">
        <fgColor theme="9" tint="0.39997558519241921"/>
        <bgColor theme="9" tint="0.39997558519241921"/>
      </patternFill>
    </fill>
    <fill>
      <patternFill patternType="solid">
        <fgColor theme="4" tint="0.79998168889431442"/>
        <bgColor theme="4" tint="0.79998168889431442"/>
      </patternFill>
    </fill>
    <fill>
      <patternFill patternType="gray0625">
        <bgColor theme="3" tint="0.89999084444715716"/>
      </patternFill>
    </fill>
    <fill>
      <patternFill patternType="gray0625">
        <bgColor theme="4" tint="0.79998168889431442"/>
      </patternFill>
    </fill>
    <fill>
      <patternFill patternType="gray0625">
        <bgColor theme="5" tint="0.79998168889431442"/>
      </patternFill>
    </fill>
    <fill>
      <patternFill patternType="gray0625">
        <bgColor theme="3" tint="0.89996032593768116"/>
      </patternFill>
    </fill>
    <fill>
      <patternFill patternType="solid">
        <fgColor theme="8" tint="0.79998168889431442"/>
        <bgColor indexed="64"/>
      </patternFill>
    </fill>
    <fill>
      <patternFill patternType="gray0625">
        <bgColor theme="8" tint="0.79998168889431442"/>
      </patternFill>
    </fill>
    <fill>
      <patternFill patternType="solid">
        <fgColor theme="2"/>
        <bgColor indexed="64"/>
      </patternFill>
    </fill>
    <fill>
      <patternFill patternType="solid">
        <fgColor rgb="FFFBE2D5"/>
        <bgColor rgb="FF000000"/>
      </patternFill>
    </fill>
    <fill>
      <patternFill patternType="solid">
        <fgColor rgb="FFFF0000"/>
        <bgColor indexed="64"/>
      </patternFill>
    </fill>
    <fill>
      <patternFill patternType="gray0625">
        <bgColor rgb="FFFFFF00"/>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thin">
        <color theme="4" tint="0.39997558519241921"/>
      </left>
      <right/>
      <top style="thin">
        <color theme="4" tint="0.39997558519241921"/>
      </top>
      <bottom style="thin">
        <color theme="4" tint="0.39997558519241921"/>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medium">
        <color rgb="FF000000"/>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style="medium">
        <color rgb="FF000000"/>
      </left>
      <right/>
      <top/>
      <bottom/>
      <diagonal/>
    </border>
    <border>
      <left/>
      <right style="medium">
        <color rgb="FF000000"/>
      </right>
      <top/>
      <bottom/>
      <diagonal/>
    </border>
    <border>
      <left style="medium">
        <color rgb="FF000000"/>
      </left>
      <right/>
      <top/>
      <bottom style="thin">
        <color indexed="64"/>
      </bottom>
      <diagonal/>
    </border>
    <border>
      <left/>
      <right style="medium">
        <color rgb="FF000000"/>
      </right>
      <top/>
      <bottom style="thin">
        <color indexed="64"/>
      </bottom>
      <diagonal/>
    </border>
    <border>
      <left style="medium">
        <color rgb="FF000000"/>
      </left>
      <right/>
      <top/>
      <bottom style="medium">
        <color rgb="FF000000"/>
      </bottom>
      <diagonal/>
    </border>
    <border>
      <left style="thin">
        <color indexed="64"/>
      </left>
      <right style="thin">
        <color indexed="64"/>
      </right>
      <top style="thin">
        <color indexed="64"/>
      </top>
      <bottom style="medium">
        <color rgb="FF000000"/>
      </bottom>
      <diagonal/>
    </border>
    <border>
      <left/>
      <right style="medium">
        <color rgb="FF000000"/>
      </right>
      <top/>
      <bottom style="medium">
        <color rgb="FF000000"/>
      </bottom>
      <diagonal/>
    </border>
    <border>
      <left style="medium">
        <color rgb="FF000000"/>
      </left>
      <right/>
      <top style="thin">
        <color indexed="64"/>
      </top>
      <bottom style="medium">
        <color rgb="FF000000"/>
      </bottom>
      <diagonal/>
    </border>
    <border>
      <left/>
      <right/>
      <top style="thin">
        <color indexed="64"/>
      </top>
      <bottom style="medium">
        <color rgb="FF000000"/>
      </bottom>
      <diagonal/>
    </border>
    <border>
      <left/>
      <right style="medium">
        <color rgb="FF000000"/>
      </right>
      <top style="thin">
        <color indexed="64"/>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medium">
        <color rgb="FF000000"/>
      </bottom>
      <diagonal/>
    </border>
    <border>
      <left/>
      <right/>
      <top/>
      <bottom style="medium">
        <color rgb="FF000000"/>
      </bottom>
      <diagonal/>
    </border>
    <border>
      <left style="thin">
        <color indexed="64"/>
      </left>
      <right/>
      <top style="medium">
        <color rgb="FF000000"/>
      </top>
      <bottom style="thin">
        <color indexed="64"/>
      </bottom>
      <diagonal/>
    </border>
    <border>
      <left/>
      <right style="thin">
        <color indexed="64"/>
      </right>
      <top style="medium">
        <color rgb="FF000000"/>
      </top>
      <bottom style="thin">
        <color indexed="64"/>
      </bottom>
      <diagonal/>
    </border>
    <border>
      <left style="thin">
        <color indexed="64"/>
      </left>
      <right/>
      <top style="thin">
        <color indexed="64"/>
      </top>
      <bottom style="medium">
        <color rgb="FF000000"/>
      </bottom>
      <diagonal/>
    </border>
    <border>
      <left/>
      <right style="thin">
        <color indexed="64"/>
      </right>
      <top style="thin">
        <color indexed="64"/>
      </top>
      <bottom style="medium">
        <color rgb="FF000000"/>
      </bottom>
      <diagonal/>
    </border>
    <border>
      <left style="thin">
        <color indexed="64"/>
      </left>
      <right/>
      <top style="medium">
        <color rgb="FF000000"/>
      </top>
      <bottom/>
      <diagonal/>
    </border>
    <border>
      <left/>
      <right style="thin">
        <color indexed="64"/>
      </right>
      <top style="medium">
        <color rgb="FF000000"/>
      </top>
      <bottom/>
      <diagonal/>
    </border>
    <border>
      <left style="thin">
        <color indexed="64"/>
      </left>
      <right/>
      <top/>
      <bottom style="medium">
        <color rgb="FF000000"/>
      </bottom>
      <diagonal/>
    </border>
    <border>
      <left/>
      <right style="thin">
        <color indexed="64"/>
      </right>
      <top/>
      <bottom style="medium">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indexed="64"/>
      </right>
      <top/>
      <bottom/>
      <diagonal/>
    </border>
    <border>
      <left style="thin">
        <color rgb="FF000000"/>
      </left>
      <right/>
      <top/>
      <bottom style="thin">
        <color rgb="FF000000"/>
      </bottom>
      <diagonal/>
    </border>
    <border>
      <left/>
      <right style="thin">
        <color rgb="FF000000"/>
      </right>
      <top/>
      <bottom style="thin">
        <color rgb="FF000000"/>
      </bottom>
      <diagonal/>
    </border>
  </borders>
  <cellStyleXfs count="5">
    <xf numFmtId="0" fontId="0" fillId="0" borderId="0"/>
    <xf numFmtId="9" fontId="1" fillId="0" borderId="0" applyFont="0" applyFill="0" applyBorder="0" applyAlignment="0" applyProtection="0"/>
    <xf numFmtId="0" fontId="7" fillId="0" borderId="0"/>
    <xf numFmtId="164" fontId="7" fillId="0" borderId="0" applyFont="0" applyFill="0" applyBorder="0" applyAlignment="0" applyProtection="0"/>
    <xf numFmtId="0" fontId="16" fillId="0" borderId="0" applyNumberFormat="0" applyFill="0" applyBorder="0" applyAlignment="0" applyProtection="0"/>
  </cellStyleXfs>
  <cellXfs count="319">
    <xf numFmtId="0" fontId="0" fillId="0" borderId="0" xfId="0"/>
    <xf numFmtId="0" fontId="0" fillId="0" borderId="0" xfId="0" applyAlignment="1">
      <alignment horizontal="center"/>
    </xf>
    <xf numFmtId="0" fontId="2" fillId="0" borderId="0" xfId="0" applyFont="1"/>
    <xf numFmtId="0" fontId="0" fillId="0" borderId="0" xfId="0" applyAlignment="1">
      <alignment wrapText="1"/>
    </xf>
    <xf numFmtId="9" fontId="0" fillId="6" borderId="0" xfId="1" applyFont="1" applyFill="1"/>
    <xf numFmtId="0" fontId="0" fillId="0" borderId="0" xfId="0" applyAlignment="1">
      <alignment vertical="center" wrapText="1"/>
    </xf>
    <xf numFmtId="0" fontId="8" fillId="0" borderId="0" xfId="2" applyFont="1"/>
    <xf numFmtId="0" fontId="9" fillId="0" borderId="0" xfId="2" applyFont="1" applyAlignment="1">
      <alignment horizontal="center"/>
    </xf>
    <xf numFmtId="0" fontId="7" fillId="0" borderId="0" xfId="2"/>
    <xf numFmtId="0" fontId="9" fillId="4" borderId="0" xfId="2" applyFont="1" applyFill="1" applyAlignment="1">
      <alignment horizontal="center"/>
    </xf>
    <xf numFmtId="0" fontId="7" fillId="0" borderId="0" xfId="2" applyAlignment="1">
      <alignment vertical="center"/>
    </xf>
    <xf numFmtId="0" fontId="0" fillId="0" borderId="0" xfId="0" applyAlignment="1">
      <alignment vertical="center"/>
    </xf>
    <xf numFmtId="0" fontId="0" fillId="4" borderId="0" xfId="0" applyFill="1"/>
    <xf numFmtId="0" fontId="12" fillId="11" borderId="1" xfId="0" applyFont="1" applyFill="1" applyBorder="1" applyAlignment="1">
      <alignment horizontal="left" vertical="center"/>
    </xf>
    <xf numFmtId="49" fontId="12" fillId="11" borderId="1" xfId="0" applyNumberFormat="1" applyFont="1" applyFill="1" applyBorder="1" applyAlignment="1">
      <alignment horizontal="left" vertical="center"/>
    </xf>
    <xf numFmtId="0" fontId="12" fillId="12" borderId="2" xfId="0" applyFont="1" applyFill="1" applyBorder="1" applyAlignment="1">
      <alignment horizontal="left" vertical="center"/>
    </xf>
    <xf numFmtId="0" fontId="12" fillId="13" borderId="3" xfId="0" applyFont="1" applyFill="1" applyBorder="1" applyAlignment="1">
      <alignment horizontal="left" vertical="center"/>
    </xf>
    <xf numFmtId="0" fontId="1" fillId="0" borderId="4" xfId="0" applyFont="1" applyBorder="1" applyAlignment="1">
      <alignment horizontal="left" vertical="center"/>
    </xf>
    <xf numFmtId="0" fontId="1" fillId="0" borderId="3" xfId="0" applyFont="1" applyBorder="1" applyAlignment="1">
      <alignment horizontal="left" vertical="center"/>
    </xf>
    <xf numFmtId="2" fontId="1" fillId="0" borderId="3" xfId="0" applyNumberFormat="1" applyFont="1" applyBorder="1" applyAlignment="1">
      <alignment horizontal="left" vertical="center"/>
    </xf>
    <xf numFmtId="49" fontId="1" fillId="0" borderId="3" xfId="0" applyNumberFormat="1" applyFont="1" applyBorder="1" applyAlignment="1">
      <alignment horizontal="left" vertical="center"/>
    </xf>
    <xf numFmtId="0" fontId="1" fillId="14" borderId="4" xfId="0" applyFont="1" applyFill="1" applyBorder="1" applyAlignment="1">
      <alignment horizontal="left" vertical="center"/>
    </xf>
    <xf numFmtId="0" fontId="1" fillId="14" borderId="3" xfId="0" applyFont="1" applyFill="1" applyBorder="1" applyAlignment="1">
      <alignment horizontal="left" vertical="center"/>
    </xf>
    <xf numFmtId="2" fontId="1" fillId="14" borderId="3" xfId="0" applyNumberFormat="1" applyFont="1" applyFill="1" applyBorder="1" applyAlignment="1">
      <alignment horizontal="left" vertical="center"/>
    </xf>
    <xf numFmtId="49" fontId="1" fillId="14" borderId="3" xfId="0" applyNumberFormat="1" applyFont="1" applyFill="1" applyBorder="1" applyAlignment="1">
      <alignment horizontal="left" vertical="center"/>
    </xf>
    <xf numFmtId="49" fontId="1" fillId="14" borderId="3" xfId="0" applyNumberFormat="1" applyFont="1" applyFill="1" applyBorder="1" applyAlignment="1">
      <alignment horizontal="left" vertical="center" wrapText="1"/>
    </xf>
    <xf numFmtId="49" fontId="13" fillId="0" borderId="3" xfId="0" applyNumberFormat="1" applyFont="1" applyBorder="1" applyAlignment="1">
      <alignment horizontal="left" vertical="center"/>
    </xf>
    <xf numFmtId="0" fontId="14" fillId="14" borderId="3" xfId="0" applyFont="1" applyFill="1" applyBorder="1" applyAlignment="1">
      <alignment horizontal="left" vertical="center"/>
    </xf>
    <xf numFmtId="0" fontId="14" fillId="0" borderId="3" xfId="0" applyFont="1" applyBorder="1" applyAlignment="1">
      <alignment horizontal="left" vertical="center"/>
    </xf>
    <xf numFmtId="0" fontId="0" fillId="6" borderId="0" xfId="0" applyFill="1" applyAlignment="1">
      <alignment horizontal="center"/>
    </xf>
    <xf numFmtId="0" fontId="0" fillId="0" borderId="0" xfId="0" applyAlignment="1">
      <alignment horizontal="center" vertical="center" wrapText="1"/>
    </xf>
    <xf numFmtId="0" fontId="2" fillId="0" borderId="0" xfId="0" applyFont="1" applyAlignment="1">
      <alignment horizontal="center" vertical="center" wrapText="1"/>
    </xf>
    <xf numFmtId="9" fontId="0" fillId="0" borderId="0" xfId="0" applyNumberFormat="1"/>
    <xf numFmtId="0" fontId="2" fillId="4" borderId="0" xfId="0" applyFont="1" applyFill="1"/>
    <xf numFmtId="0" fontId="7" fillId="9" borderId="0" xfId="2" applyFill="1"/>
    <xf numFmtId="9" fontId="0" fillId="0" borderId="0" xfId="1" applyFont="1" applyFill="1" applyAlignment="1">
      <alignment horizontal="center"/>
    </xf>
    <xf numFmtId="0" fontId="7" fillId="5" borderId="0" xfId="2" applyFill="1"/>
    <xf numFmtId="0" fontId="7" fillId="4" borderId="0" xfId="2" applyFill="1"/>
    <xf numFmtId="165" fontId="15" fillId="0" borderId="0" xfId="0" applyNumberFormat="1" applyFont="1" applyAlignment="1">
      <alignment horizontal="center" vertical="center"/>
    </xf>
    <xf numFmtId="1" fontId="2" fillId="0" borderId="0" xfId="0" applyNumberFormat="1" applyFont="1"/>
    <xf numFmtId="1" fontId="2" fillId="10" borderId="0" xfId="0" applyNumberFormat="1" applyFont="1" applyFill="1"/>
    <xf numFmtId="0" fontId="2" fillId="10" borderId="0" xfId="0" applyFont="1" applyFill="1" applyAlignment="1">
      <alignment horizontal="center" vertical="center"/>
    </xf>
    <xf numFmtId="0" fontId="0" fillId="0" borderId="0" xfId="0" applyAlignment="1">
      <alignment horizontal="left" wrapText="1"/>
    </xf>
    <xf numFmtId="0" fontId="0" fillId="0" borderId="0" xfId="0" applyAlignment="1">
      <alignment horizontal="left"/>
    </xf>
    <xf numFmtId="1" fontId="0" fillId="0" borderId="0" xfId="0" applyNumberFormat="1"/>
    <xf numFmtId="9" fontId="0" fillId="6" borderId="0" xfId="0" applyNumberFormat="1" applyFill="1"/>
    <xf numFmtId="2" fontId="0" fillId="0" borderId="0" xfId="0" applyNumberFormat="1"/>
    <xf numFmtId="10" fontId="0" fillId="0" borderId="0" xfId="0" applyNumberFormat="1"/>
    <xf numFmtId="0" fontId="20" fillId="0" borderId="0" xfId="0" applyFont="1"/>
    <xf numFmtId="0" fontId="2" fillId="0" borderId="0" xfId="0" applyFont="1" applyAlignment="1">
      <alignment horizontal="left"/>
    </xf>
    <xf numFmtId="0" fontId="21" fillId="0" borderId="0" xfId="0" applyFont="1"/>
    <xf numFmtId="0" fontId="21" fillId="0" borderId="0" xfId="0" applyFont="1" applyAlignment="1">
      <alignment horizontal="left" wrapText="1"/>
    </xf>
    <xf numFmtId="0" fontId="8" fillId="0" borderId="0" xfId="0" applyFont="1"/>
    <xf numFmtId="0" fontId="22" fillId="0" borderId="0" xfId="0" applyFont="1"/>
    <xf numFmtId="0" fontId="8" fillId="0" borderId="0" xfId="0" applyFont="1" applyAlignment="1">
      <alignment horizontal="left"/>
    </xf>
    <xf numFmtId="167" fontId="25" fillId="5" borderId="15" xfId="0" applyNumberFormat="1" applyFont="1" applyFill="1" applyBorder="1" applyAlignment="1">
      <alignment horizontal="center"/>
    </xf>
    <xf numFmtId="167" fontId="25" fillId="5" borderId="16" xfId="0" applyNumberFormat="1" applyFont="1" applyFill="1" applyBorder="1" applyAlignment="1">
      <alignment horizontal="center"/>
    </xf>
    <xf numFmtId="167" fontId="25" fillId="5" borderId="17" xfId="0" applyNumberFormat="1" applyFont="1" applyFill="1" applyBorder="1" applyAlignment="1">
      <alignment horizontal="center"/>
    </xf>
    <xf numFmtId="0" fontId="26" fillId="21" borderId="18" xfId="0" applyFont="1" applyFill="1" applyBorder="1"/>
    <xf numFmtId="0" fontId="26" fillId="21" borderId="15" xfId="0" applyFont="1" applyFill="1" applyBorder="1" applyAlignment="1">
      <alignment horizontal="left" wrapText="1"/>
    </xf>
    <xf numFmtId="0" fontId="0" fillId="0" borderId="10" xfId="0" applyBorder="1"/>
    <xf numFmtId="0" fontId="0" fillId="0" borderId="11" xfId="0" applyBorder="1"/>
    <xf numFmtId="0" fontId="0" fillId="0" borderId="10" xfId="0" applyBorder="1" applyAlignment="1">
      <alignment horizontal="center"/>
    </xf>
    <xf numFmtId="0" fontId="0" fillId="0" borderId="11" xfId="0" applyBorder="1" applyAlignment="1">
      <alignment horizontal="center"/>
    </xf>
    <xf numFmtId="0" fontId="0" fillId="2" borderId="11" xfId="0" applyFill="1" applyBorder="1" applyAlignment="1">
      <alignment horizontal="center" vertical="center" wrapText="1"/>
    </xf>
    <xf numFmtId="0" fontId="0" fillId="0" borderId="10" xfId="0" applyBorder="1" applyAlignment="1">
      <alignment horizontal="center" vertical="center" wrapText="1"/>
    </xf>
    <xf numFmtId="0" fontId="0" fillId="3" borderId="11" xfId="0" applyFill="1" applyBorder="1" applyAlignment="1">
      <alignment horizontal="center" vertical="center" wrapText="1"/>
    </xf>
    <xf numFmtId="0" fontId="2" fillId="0" borderId="10" xfId="0" applyFont="1" applyBorder="1"/>
    <xf numFmtId="165" fontId="2" fillId="2" borderId="12" xfId="0" applyNumberFormat="1" applyFont="1" applyFill="1" applyBorder="1"/>
    <xf numFmtId="165" fontId="2" fillId="3" borderId="14" xfId="0" applyNumberFormat="1" applyFont="1" applyFill="1" applyBorder="1"/>
    <xf numFmtId="0" fontId="0" fillId="4" borderId="11" xfId="0" applyFill="1" applyBorder="1" applyAlignment="1">
      <alignment horizontal="center" vertical="center" wrapText="1"/>
    </xf>
    <xf numFmtId="0" fontId="2" fillId="19" borderId="11" xfId="0" applyFont="1" applyFill="1" applyBorder="1" applyAlignment="1">
      <alignment horizontal="center" vertical="center" wrapText="1"/>
    </xf>
    <xf numFmtId="165" fontId="2" fillId="19" borderId="12" xfId="0" applyNumberFormat="1" applyFont="1" applyFill="1" applyBorder="1"/>
    <xf numFmtId="165" fontId="2" fillId="19" borderId="14" xfId="0" applyNumberFormat="1" applyFont="1" applyFill="1" applyBorder="1"/>
    <xf numFmtId="165" fontId="2" fillId="4" borderId="17" xfId="0" applyNumberFormat="1" applyFont="1" applyFill="1" applyBorder="1"/>
    <xf numFmtId="165" fontId="2" fillId="4" borderId="14" xfId="0" applyNumberFormat="1" applyFont="1" applyFill="1" applyBorder="1"/>
    <xf numFmtId="0" fontId="0" fillId="0" borderId="8" xfId="0" applyBorder="1"/>
    <xf numFmtId="0" fontId="0" fillId="0" borderId="11" xfId="0" applyBorder="1" applyAlignment="1">
      <alignment vertical="center" wrapText="1"/>
    </xf>
    <xf numFmtId="0" fontId="0" fillId="2" borderId="15" xfId="0" applyFill="1" applyBorder="1" applyAlignment="1">
      <alignment horizontal="center" vertical="center"/>
    </xf>
    <xf numFmtId="165" fontId="15" fillId="15" borderId="17" xfId="0" applyNumberFormat="1" applyFont="1" applyFill="1" applyBorder="1" applyAlignment="1">
      <alignment vertical="center"/>
    </xf>
    <xf numFmtId="0" fontId="0" fillId="3" borderId="15" xfId="0" applyFill="1" applyBorder="1" applyAlignment="1">
      <alignment horizontal="center" vertical="center"/>
    </xf>
    <xf numFmtId="165" fontId="15" fillId="16" borderId="17" xfId="0" applyNumberFormat="1" applyFont="1" applyFill="1" applyBorder="1" applyAlignment="1">
      <alignment vertical="center"/>
    </xf>
    <xf numFmtId="0" fontId="0" fillId="4" borderId="15" xfId="0" applyFill="1" applyBorder="1" applyAlignment="1">
      <alignment horizontal="center" vertical="center"/>
    </xf>
    <xf numFmtId="165" fontId="15" fillId="17" borderId="17" xfId="0" applyNumberFormat="1" applyFont="1" applyFill="1" applyBorder="1" applyAlignment="1">
      <alignment vertical="center"/>
    </xf>
    <xf numFmtId="0" fontId="2" fillId="19" borderId="7" xfId="0" applyFont="1" applyFill="1" applyBorder="1" applyAlignment="1">
      <alignment horizontal="center" vertical="center"/>
    </xf>
    <xf numFmtId="0" fontId="2" fillId="19" borderId="9" xfId="0" applyFont="1" applyFill="1" applyBorder="1" applyAlignment="1">
      <alignment horizontal="center" vertical="center"/>
    </xf>
    <xf numFmtId="165" fontId="15" fillId="20" borderId="12" xfId="0" applyNumberFormat="1" applyFont="1" applyFill="1" applyBorder="1" applyAlignment="1">
      <alignment vertical="center"/>
    </xf>
    <xf numFmtId="165" fontId="15" fillId="20" borderId="14" xfId="0" applyNumberFormat="1" applyFont="1" applyFill="1" applyBorder="1" applyAlignment="1">
      <alignment vertical="center"/>
    </xf>
    <xf numFmtId="0" fontId="2" fillId="19" borderId="7" xfId="0" applyFont="1" applyFill="1" applyBorder="1" applyAlignment="1">
      <alignment horizontal="center"/>
    </xf>
    <xf numFmtId="0" fontId="2" fillId="19" borderId="9" xfId="0" applyFont="1" applyFill="1" applyBorder="1" applyAlignment="1">
      <alignment horizontal="center"/>
    </xf>
    <xf numFmtId="0" fontId="15" fillId="20" borderId="12" xfId="0" applyFont="1" applyFill="1" applyBorder="1" applyAlignment="1">
      <alignment horizontal="center" vertical="center"/>
    </xf>
    <xf numFmtId="0" fontId="15" fillId="20" borderId="14" xfId="0" applyFont="1" applyFill="1" applyBorder="1" applyAlignment="1">
      <alignment horizontal="center" vertical="center"/>
    </xf>
    <xf numFmtId="0" fontId="0" fillId="2" borderId="15" xfId="0" applyFill="1" applyBorder="1" applyAlignment="1">
      <alignment horizontal="center" vertical="center" wrapText="1"/>
    </xf>
    <xf numFmtId="165" fontId="2" fillId="2" borderId="17" xfId="0" applyNumberFormat="1" applyFont="1" applyFill="1" applyBorder="1"/>
    <xf numFmtId="0" fontId="0" fillId="3" borderId="15" xfId="0" applyFill="1" applyBorder="1" applyAlignment="1">
      <alignment horizontal="center" vertical="center" wrapText="1"/>
    </xf>
    <xf numFmtId="165" fontId="2" fillId="3" borderId="17" xfId="0" applyNumberFormat="1" applyFont="1" applyFill="1" applyBorder="1"/>
    <xf numFmtId="0" fontId="2" fillId="4" borderId="15" xfId="0" applyFont="1" applyFill="1" applyBorder="1" applyAlignment="1">
      <alignment horizontal="center" vertical="center" wrapText="1"/>
    </xf>
    <xf numFmtId="165" fontId="2" fillId="19" borderId="17" xfId="0" applyNumberFormat="1" applyFont="1" applyFill="1" applyBorder="1"/>
    <xf numFmtId="0" fontId="2" fillId="0" borderId="0" xfId="0" applyFont="1" applyAlignment="1">
      <alignment vertical="center"/>
    </xf>
    <xf numFmtId="0" fontId="2" fillId="0" borderId="0" xfId="0" applyFont="1" applyAlignment="1">
      <alignment horizontal="center" vertical="center"/>
    </xf>
    <xf numFmtId="0" fontId="2" fillId="0" borderId="13" xfId="0" applyFont="1" applyBorder="1"/>
    <xf numFmtId="0" fontId="15" fillId="0" borderId="0" xfId="1" applyNumberFormat="1" applyFont="1" applyFill="1" applyAlignment="1">
      <alignment horizontal="center"/>
    </xf>
    <xf numFmtId="0" fontId="24" fillId="5" borderId="15" xfId="0" applyFont="1" applyFill="1" applyBorder="1" applyAlignment="1">
      <alignment horizontal="center"/>
    </xf>
    <xf numFmtId="0" fontId="24" fillId="5" borderId="16" xfId="0" applyFont="1" applyFill="1" applyBorder="1" applyAlignment="1">
      <alignment horizontal="center"/>
    </xf>
    <xf numFmtId="1" fontId="24" fillId="5" borderId="16" xfId="0" applyNumberFormat="1" applyFont="1" applyFill="1" applyBorder="1" applyAlignment="1">
      <alignment horizontal="center" vertical="center" wrapText="1"/>
    </xf>
    <xf numFmtId="1" fontId="31" fillId="5" borderId="16" xfId="0" applyNumberFormat="1" applyFont="1" applyFill="1" applyBorder="1" applyAlignment="1">
      <alignment horizontal="center" wrapText="1"/>
    </xf>
    <xf numFmtId="1" fontId="31" fillId="5" borderId="17" xfId="0" applyNumberFormat="1" applyFont="1" applyFill="1" applyBorder="1" applyAlignment="1">
      <alignment horizontal="center" wrapText="1"/>
    </xf>
    <xf numFmtId="1" fontId="33" fillId="5" borderId="15" xfId="0" applyNumberFormat="1" applyFont="1" applyFill="1" applyBorder="1" applyAlignment="1">
      <alignment horizontal="center" wrapText="1"/>
    </xf>
    <xf numFmtId="0" fontId="27" fillId="5" borderId="15" xfId="0" applyFont="1" applyFill="1" applyBorder="1" applyAlignment="1">
      <alignment horizontal="center" vertical="center"/>
    </xf>
    <xf numFmtId="0" fontId="27" fillId="5" borderId="16" xfId="0" applyFont="1" applyFill="1" applyBorder="1" applyAlignment="1">
      <alignment horizontal="center" vertical="center"/>
    </xf>
    <xf numFmtId="0" fontId="27" fillId="5" borderId="17" xfId="0" applyFont="1" applyFill="1" applyBorder="1" applyAlignment="1">
      <alignment horizontal="center" vertical="center"/>
    </xf>
    <xf numFmtId="167" fontId="24" fillId="5" borderId="17" xfId="0" applyNumberFormat="1" applyFont="1" applyFill="1" applyBorder="1" applyAlignment="1">
      <alignment horizontal="center" vertical="center"/>
    </xf>
    <xf numFmtId="0" fontId="29" fillId="5" borderId="29" xfId="0" applyFont="1" applyFill="1" applyBorder="1" applyAlignment="1">
      <alignment horizontal="center"/>
    </xf>
    <xf numFmtId="9" fontId="25" fillId="5" borderId="37" xfId="0" applyNumberFormat="1" applyFont="1" applyFill="1" applyBorder="1" applyAlignment="1">
      <alignment horizontal="center" wrapText="1"/>
    </xf>
    <xf numFmtId="167" fontId="25" fillId="5" borderId="38" xfId="0" applyNumberFormat="1" applyFont="1" applyFill="1" applyBorder="1" applyAlignment="1">
      <alignment horizontal="center"/>
    </xf>
    <xf numFmtId="168" fontId="30" fillId="5" borderId="13" xfId="0" applyNumberFormat="1" applyFont="1" applyFill="1" applyBorder="1" applyAlignment="1">
      <alignment horizontal="center" vertical="center"/>
    </xf>
    <xf numFmtId="0" fontId="0" fillId="0" borderId="0" xfId="0" applyAlignment="1">
      <alignment horizontal="left" vertical="center" wrapText="1"/>
    </xf>
    <xf numFmtId="0" fontId="0" fillId="0" borderId="34" xfId="0" applyBorder="1" applyAlignment="1">
      <alignment horizontal="center" vertical="center" wrapText="1"/>
    </xf>
    <xf numFmtId="0" fontId="0" fillId="0" borderId="35" xfId="0" applyBorder="1" applyAlignment="1">
      <alignment horizontal="center" vertical="center" wrapText="1"/>
    </xf>
    <xf numFmtId="0" fontId="0" fillId="0" borderId="35" xfId="0" applyBorder="1"/>
    <xf numFmtId="0" fontId="0" fillId="0" borderId="36" xfId="0" applyBorder="1" applyAlignment="1">
      <alignment vertical="center" wrapText="1"/>
    </xf>
    <xf numFmtId="0" fontId="0" fillId="0" borderId="24" xfId="0" applyBorder="1" applyAlignment="1">
      <alignment horizontal="center" vertical="center" wrapText="1"/>
    </xf>
    <xf numFmtId="0" fontId="0" fillId="0" borderId="25" xfId="0" applyBorder="1" applyAlignment="1">
      <alignment vertical="center" wrapText="1"/>
    </xf>
    <xf numFmtId="0" fontId="0" fillId="0" borderId="28" xfId="0" applyBorder="1" applyAlignment="1">
      <alignment horizontal="center" vertical="center" wrapText="1"/>
    </xf>
    <xf numFmtId="0" fontId="0" fillId="0" borderId="39" xfId="0" applyBorder="1" applyAlignment="1">
      <alignment horizontal="center" vertical="center" wrapText="1"/>
    </xf>
    <xf numFmtId="0" fontId="0" fillId="0" borderId="39" xfId="0" applyBorder="1"/>
    <xf numFmtId="0" fontId="0" fillId="0" borderId="30" xfId="0" applyBorder="1" applyAlignment="1">
      <alignment vertical="center" wrapText="1"/>
    </xf>
    <xf numFmtId="0" fontId="36" fillId="4" borderId="15" xfId="0" applyFont="1" applyFill="1" applyBorder="1" applyAlignment="1">
      <alignment horizontal="center" vertical="center" wrapText="1"/>
    </xf>
    <xf numFmtId="0" fontId="18" fillId="19" borderId="15" xfId="0" applyFont="1" applyFill="1" applyBorder="1" applyAlignment="1">
      <alignment horizontal="center" vertical="center" wrapText="1"/>
    </xf>
    <xf numFmtId="0" fontId="17" fillId="19" borderId="15" xfId="0" applyFont="1" applyFill="1" applyBorder="1" applyAlignment="1">
      <alignment horizontal="center" vertical="center" wrapText="1"/>
    </xf>
    <xf numFmtId="0" fontId="0" fillId="0" borderId="0" xfId="0" applyAlignment="1">
      <alignment horizontal="center" vertical="center"/>
    </xf>
    <xf numFmtId="0" fontId="0" fillId="21" borderId="24" xfId="0" applyFill="1" applyBorder="1" applyAlignment="1">
      <alignment wrapText="1"/>
    </xf>
    <xf numFmtId="165" fontId="15" fillId="6" borderId="25" xfId="0" applyNumberFormat="1" applyFont="1" applyFill="1" applyBorder="1" applyAlignment="1">
      <alignment horizontal="center" vertical="center"/>
    </xf>
    <xf numFmtId="0" fontId="16" fillId="21" borderId="24" xfId="4" applyFill="1" applyBorder="1" applyAlignment="1">
      <alignment wrapText="1"/>
    </xf>
    <xf numFmtId="0" fontId="15" fillId="6" borderId="25" xfId="0" applyFont="1" applyFill="1" applyBorder="1" applyAlignment="1">
      <alignment horizontal="center" vertical="center"/>
    </xf>
    <xf numFmtId="9" fontId="15" fillId="6" borderId="25" xfId="1" applyFont="1" applyFill="1" applyBorder="1" applyAlignment="1">
      <alignment horizontal="center" vertical="center"/>
    </xf>
    <xf numFmtId="0" fontId="0" fillId="0" borderId="24" xfId="0" applyBorder="1" applyAlignment="1">
      <alignment wrapText="1"/>
    </xf>
    <xf numFmtId="9" fontId="15" fillId="0" borderId="25" xfId="1" applyFont="1" applyFill="1" applyBorder="1" applyAlignment="1">
      <alignment horizontal="center" vertical="center"/>
    </xf>
    <xf numFmtId="0" fontId="0" fillId="21" borderId="31" xfId="0" applyFill="1" applyBorder="1" applyAlignment="1">
      <alignment wrapText="1"/>
    </xf>
    <xf numFmtId="9" fontId="15" fillId="18" borderId="33" xfId="1" applyFont="1" applyFill="1" applyBorder="1" applyAlignment="1">
      <alignment horizontal="center" vertical="center" wrapText="1"/>
    </xf>
    <xf numFmtId="0" fontId="15" fillId="0" borderId="0" xfId="0" applyFont="1" applyAlignment="1">
      <alignment horizontal="center" vertical="center" wrapText="1"/>
    </xf>
    <xf numFmtId="0" fontId="0" fillId="21" borderId="22" xfId="0" applyFill="1" applyBorder="1" applyAlignment="1">
      <alignment horizontal="left" vertical="center"/>
    </xf>
    <xf numFmtId="0" fontId="15" fillId="18" borderId="23" xfId="0" applyFont="1" applyFill="1" applyBorder="1" applyAlignment="1">
      <alignment horizontal="center" vertical="center" wrapText="1"/>
    </xf>
    <xf numFmtId="0" fontId="0" fillId="21" borderId="28" xfId="0" applyFill="1" applyBorder="1" applyAlignment="1">
      <alignment horizontal="left" vertical="center" wrapText="1"/>
    </xf>
    <xf numFmtId="0" fontId="15" fillId="18" borderId="30" xfId="0" applyFont="1" applyFill="1" applyBorder="1" applyAlignment="1">
      <alignment horizontal="center" vertical="center" wrapText="1"/>
    </xf>
    <xf numFmtId="0" fontId="2" fillId="21" borderId="24" xfId="0" applyFont="1" applyFill="1" applyBorder="1" applyAlignment="1">
      <alignment vertical="center" wrapText="1"/>
    </xf>
    <xf numFmtId="1" fontId="15" fillId="6" borderId="25" xfId="0" applyNumberFormat="1" applyFont="1" applyFill="1" applyBorder="1" applyAlignment="1">
      <alignment horizontal="center" vertical="center"/>
    </xf>
    <xf numFmtId="0" fontId="2" fillId="21" borderId="24" xfId="0" applyFont="1" applyFill="1" applyBorder="1" applyAlignment="1">
      <alignment wrapText="1"/>
    </xf>
    <xf numFmtId="0" fontId="2" fillId="21" borderId="28" xfId="0" applyFont="1" applyFill="1" applyBorder="1" applyAlignment="1">
      <alignment wrapText="1"/>
    </xf>
    <xf numFmtId="1" fontId="15" fillId="6" borderId="30" xfId="0" applyNumberFormat="1" applyFont="1" applyFill="1" applyBorder="1" applyAlignment="1">
      <alignment horizontal="center" vertical="center"/>
    </xf>
    <xf numFmtId="0" fontId="0" fillId="21" borderId="22" xfId="0" applyFill="1" applyBorder="1" applyAlignment="1">
      <alignment horizontal="left" vertical="center" wrapText="1"/>
    </xf>
    <xf numFmtId="1" fontId="15" fillId="6" borderId="23" xfId="0" applyNumberFormat="1" applyFont="1" applyFill="1" applyBorder="1" applyAlignment="1">
      <alignment horizontal="center" vertical="center"/>
    </xf>
    <xf numFmtId="0" fontId="0" fillId="21" borderId="26" xfId="0" applyFill="1" applyBorder="1" applyAlignment="1">
      <alignment horizontal="left" vertical="center" wrapText="1"/>
    </xf>
    <xf numFmtId="1" fontId="15" fillId="6" borderId="27" xfId="0" applyNumberFormat="1" applyFont="1" applyFill="1" applyBorder="1" applyAlignment="1">
      <alignment horizontal="center" vertical="center"/>
    </xf>
    <xf numFmtId="0" fontId="0" fillId="0" borderId="24" xfId="0" applyBorder="1"/>
    <xf numFmtId="0" fontId="0" fillId="0" borderId="25" xfId="0" applyBorder="1" applyAlignment="1">
      <alignment horizontal="center" vertical="center"/>
    </xf>
    <xf numFmtId="0" fontId="0" fillId="21" borderId="22" xfId="0" applyFill="1" applyBorder="1"/>
    <xf numFmtId="0" fontId="0" fillId="21" borderId="26" xfId="0" applyFill="1" applyBorder="1" applyAlignment="1">
      <alignment wrapText="1"/>
    </xf>
    <xf numFmtId="0" fontId="0" fillId="0" borderId="25" xfId="0" applyBorder="1"/>
    <xf numFmtId="0" fontId="0" fillId="21" borderId="22" xfId="0" applyFill="1" applyBorder="1" applyAlignment="1">
      <alignment wrapText="1"/>
    </xf>
    <xf numFmtId="9" fontId="15" fillId="6" borderId="23" xfId="1" applyFont="1" applyFill="1" applyBorder="1" applyAlignment="1">
      <alignment horizontal="center" vertical="center"/>
    </xf>
    <xf numFmtId="9" fontId="15" fillId="6" borderId="27" xfId="1" applyFont="1" applyFill="1" applyBorder="1" applyAlignment="1">
      <alignment horizontal="center" vertical="center"/>
    </xf>
    <xf numFmtId="0" fontId="0" fillId="0" borderId="22" xfId="0" applyBorder="1"/>
    <xf numFmtId="0" fontId="0" fillId="0" borderId="23" xfId="0" applyBorder="1" applyAlignment="1">
      <alignment horizontal="center" vertical="center"/>
    </xf>
    <xf numFmtId="0" fontId="16" fillId="21" borderId="22" xfId="4" applyFill="1" applyBorder="1" applyAlignment="1">
      <alignment wrapText="1"/>
    </xf>
    <xf numFmtId="0" fontId="15" fillId="6" borderId="23" xfId="0" applyFont="1" applyFill="1" applyBorder="1" applyAlignment="1">
      <alignment horizontal="center" vertical="center"/>
    </xf>
    <xf numFmtId="0" fontId="16" fillId="21" borderId="26" xfId="4" applyFill="1" applyBorder="1" applyAlignment="1">
      <alignment wrapText="1"/>
    </xf>
    <xf numFmtId="165" fontId="15" fillId="6" borderId="27" xfId="0" applyNumberFormat="1" applyFont="1" applyFill="1" applyBorder="1" applyAlignment="1">
      <alignment horizontal="center" vertical="center"/>
    </xf>
    <xf numFmtId="165" fontId="15" fillId="0" borderId="25" xfId="0" applyNumberFormat="1" applyFont="1" applyBorder="1" applyAlignment="1">
      <alignment horizontal="center" vertical="center"/>
    </xf>
    <xf numFmtId="166" fontId="15" fillId="6" borderId="23" xfId="0" applyNumberFormat="1" applyFont="1" applyFill="1" applyBorder="1" applyAlignment="1">
      <alignment horizontal="center" vertical="center"/>
    </xf>
    <xf numFmtId="166" fontId="15" fillId="6" borderId="25" xfId="0" applyNumberFormat="1" applyFont="1" applyFill="1" applyBorder="1" applyAlignment="1">
      <alignment horizontal="center" vertical="center"/>
    </xf>
    <xf numFmtId="0" fontId="0" fillId="21" borderId="28" xfId="0" applyFill="1" applyBorder="1" applyAlignment="1">
      <alignment wrapText="1"/>
    </xf>
    <xf numFmtId="166" fontId="15" fillId="6" borderId="30" xfId="0" applyNumberFormat="1" applyFont="1" applyFill="1" applyBorder="1" applyAlignment="1">
      <alignment horizontal="center" vertical="center"/>
    </xf>
    <xf numFmtId="166" fontId="15" fillId="0" borderId="0" xfId="0" applyNumberFormat="1" applyFont="1" applyAlignment="1">
      <alignment horizontal="center" vertical="center"/>
    </xf>
    <xf numFmtId="165" fontId="15" fillId="6" borderId="37" xfId="0" applyNumberFormat="1" applyFont="1" applyFill="1" applyBorder="1" applyAlignment="1">
      <alignment vertical="center"/>
    </xf>
    <xf numFmtId="1" fontId="15" fillId="0" borderId="0" xfId="0" applyNumberFormat="1" applyFont="1" applyAlignment="1">
      <alignment horizontal="center" vertical="center"/>
    </xf>
    <xf numFmtId="0" fontId="0" fillId="21" borderId="22" xfId="0" applyFill="1" applyBorder="1" applyAlignment="1">
      <alignment vertical="center" wrapText="1"/>
    </xf>
    <xf numFmtId="0" fontId="37" fillId="22" borderId="0" xfId="0" applyFont="1" applyFill="1"/>
    <xf numFmtId="0" fontId="38" fillId="22" borderId="0" xfId="0" applyFont="1" applyFill="1"/>
    <xf numFmtId="0" fontId="38" fillId="0" borderId="0" xfId="0" applyFont="1" applyAlignment="1">
      <alignment wrapText="1"/>
    </xf>
    <xf numFmtId="0" fontId="37" fillId="0" borderId="0" xfId="0" applyFont="1" applyAlignment="1">
      <alignment wrapText="1"/>
    </xf>
    <xf numFmtId="0" fontId="38" fillId="0" borderId="0" xfId="0" applyFont="1"/>
    <xf numFmtId="0" fontId="39" fillId="23" borderId="0" xfId="2" applyFont="1" applyFill="1" applyAlignment="1">
      <alignment horizontal="center"/>
    </xf>
    <xf numFmtId="0" fontId="37" fillId="0" borderId="0" xfId="0" applyFont="1" applyAlignment="1">
      <alignment vertical="center" wrapText="1"/>
    </xf>
    <xf numFmtId="0" fontId="16" fillId="21" borderId="37" xfId="4" applyFill="1" applyBorder="1" applyAlignment="1">
      <alignment vertical="center" wrapText="1"/>
    </xf>
    <xf numFmtId="0" fontId="15" fillId="24" borderId="11" xfId="0" applyFont="1" applyFill="1" applyBorder="1" applyAlignment="1">
      <alignment horizontal="center" vertical="center"/>
    </xf>
    <xf numFmtId="0" fontId="0" fillId="0" borderId="7" xfId="0" applyBorder="1" applyAlignment="1">
      <alignment wrapText="1"/>
    </xf>
    <xf numFmtId="0" fontId="0" fillId="0" borderId="8" xfId="0" applyBorder="1" applyAlignment="1">
      <alignment wrapText="1"/>
    </xf>
    <xf numFmtId="0" fontId="0" fillId="0" borderId="9" xfId="0" applyBorder="1" applyAlignment="1">
      <alignment wrapText="1"/>
    </xf>
    <xf numFmtId="0" fontId="24" fillId="0" borderId="7" xfId="0" applyFont="1" applyBorder="1"/>
    <xf numFmtId="0" fontId="24" fillId="0" borderId="9" xfId="0" applyFont="1" applyBorder="1"/>
    <xf numFmtId="0" fontId="24" fillId="0" borderId="10" xfId="0" applyFont="1" applyBorder="1"/>
    <xf numFmtId="0" fontId="24" fillId="0" borderId="11" xfId="0" applyFont="1" applyBorder="1" applyAlignment="1">
      <alignment horizontal="left" wrapText="1"/>
    </xf>
    <xf numFmtId="0" fontId="24" fillId="0" borderId="10" xfId="0" applyFont="1" applyBorder="1" applyAlignment="1">
      <alignment vertical="center"/>
    </xf>
    <xf numFmtId="0" fontId="24" fillId="0" borderId="11" xfId="0" applyFont="1" applyBorder="1" applyAlignment="1">
      <alignment vertical="center"/>
    </xf>
    <xf numFmtId="0" fontId="34" fillId="0" borderId="7" xfId="0" applyFont="1" applyBorder="1" applyAlignment="1">
      <alignment horizontal="left" wrapText="1"/>
    </xf>
    <xf numFmtId="0" fontId="34" fillId="0" borderId="9" xfId="0" applyFont="1" applyBorder="1"/>
    <xf numFmtId="0" fontId="32" fillId="0" borderId="11" xfId="0" applyFont="1" applyBorder="1"/>
    <xf numFmtId="0" fontId="24" fillId="0" borderId="12" xfId="0" applyFont="1" applyBorder="1" applyAlignment="1">
      <alignment horizontal="left" wrapText="1"/>
    </xf>
    <xf numFmtId="0" fontId="32" fillId="0" borderId="14" xfId="0" applyFont="1" applyBorder="1"/>
    <xf numFmtId="0" fontId="24" fillId="0" borderId="10" xfId="0" applyFont="1" applyBorder="1" applyAlignment="1">
      <alignment wrapText="1"/>
    </xf>
    <xf numFmtId="0" fontId="24" fillId="0" borderId="12" xfId="0" applyFont="1" applyBorder="1"/>
    <xf numFmtId="0" fontId="26" fillId="0" borderId="10" xfId="0" applyFont="1" applyBorder="1"/>
    <xf numFmtId="0" fontId="26" fillId="0" borderId="0" xfId="0" applyFont="1" applyAlignment="1">
      <alignment horizontal="left" wrapText="1"/>
    </xf>
    <xf numFmtId="0" fontId="26" fillId="0" borderId="11" xfId="0" applyFont="1" applyBorder="1" applyAlignment="1">
      <alignment horizontal="left" wrapText="1"/>
    </xf>
    <xf numFmtId="0" fontId="24" fillId="0" borderId="1" xfId="0" applyFont="1" applyBorder="1" applyAlignment="1">
      <alignment vertical="center" wrapText="1"/>
    </xf>
    <xf numFmtId="0" fontId="27" fillId="0" borderId="11" xfId="0" applyFont="1" applyBorder="1"/>
    <xf numFmtId="0" fontId="24" fillId="0" borderId="15" xfId="0" applyFont="1" applyBorder="1" applyAlignment="1">
      <alignment wrapText="1"/>
    </xf>
    <xf numFmtId="0" fontId="24" fillId="0" borderId="16" xfId="0" applyFont="1" applyBorder="1" applyAlignment="1">
      <alignment wrapText="1"/>
    </xf>
    <xf numFmtId="0" fontId="24" fillId="0" borderId="17" xfId="0" applyFont="1" applyBorder="1" applyAlignment="1">
      <alignment wrapText="1"/>
    </xf>
    <xf numFmtId="0" fontId="28" fillId="0" borderId="46" xfId="0" applyFont="1" applyBorder="1"/>
    <xf numFmtId="0" fontId="27" fillId="0" borderId="47" xfId="0" applyFont="1" applyBorder="1"/>
    <xf numFmtId="0" fontId="28" fillId="0" borderId="10" xfId="0" applyFont="1" applyBorder="1"/>
    <xf numFmtId="0" fontId="28" fillId="0" borderId="0" xfId="0" applyFont="1" applyAlignment="1">
      <alignment horizontal="center"/>
    </xf>
    <xf numFmtId="0" fontId="26" fillId="21" borderId="9" xfId="0" applyFont="1" applyFill="1" applyBorder="1" applyAlignment="1">
      <alignment horizontal="left" wrapText="1"/>
    </xf>
    <xf numFmtId="0" fontId="26" fillId="0" borderId="7" xfId="0" applyFont="1" applyBorder="1"/>
    <xf numFmtId="0" fontId="26" fillId="0" borderId="9" xfId="0" applyFont="1" applyBorder="1"/>
    <xf numFmtId="0" fontId="26" fillId="0" borderId="11" xfId="0" applyFont="1" applyBorder="1"/>
    <xf numFmtId="0" fontId="24" fillId="0" borderId="12" xfId="0" applyFont="1" applyBorder="1" applyAlignment="1">
      <alignment vertical="center"/>
    </xf>
    <xf numFmtId="0" fontId="24" fillId="0" borderId="14" xfId="0" applyFont="1" applyBorder="1" applyAlignment="1">
      <alignment vertical="center" wrapText="1"/>
    </xf>
    <xf numFmtId="167" fontId="24" fillId="0" borderId="0" xfId="0" applyNumberFormat="1" applyFont="1"/>
    <xf numFmtId="0" fontId="24" fillId="0" borderId="11" xfId="0" applyFont="1" applyBorder="1"/>
    <xf numFmtId="0" fontId="24" fillId="21" borderId="48" xfId="0" applyFont="1" applyFill="1" applyBorder="1"/>
    <xf numFmtId="0" fontId="24" fillId="0" borderId="49" xfId="0" applyFont="1" applyBorder="1" applyAlignment="1">
      <alignment horizontal="left" wrapText="1"/>
    </xf>
    <xf numFmtId="9" fontId="24" fillId="0" borderId="0" xfId="0" applyNumberFormat="1" applyFont="1" applyAlignment="1">
      <alignment horizontal="center" wrapText="1"/>
    </xf>
    <xf numFmtId="0" fontId="30" fillId="5" borderId="10" xfId="0" applyFont="1" applyFill="1" applyBorder="1"/>
    <xf numFmtId="168" fontId="30" fillId="5" borderId="0" xfId="0" applyNumberFormat="1" applyFont="1" applyFill="1" applyAlignment="1">
      <alignment horizontal="center" vertical="center"/>
    </xf>
    <xf numFmtId="0" fontId="24" fillId="5" borderId="11" xfId="0" applyFont="1" applyFill="1" applyBorder="1"/>
    <xf numFmtId="0" fontId="24" fillId="5" borderId="10" xfId="0" applyFont="1" applyFill="1" applyBorder="1"/>
    <xf numFmtId="0" fontId="26" fillId="5" borderId="0" xfId="0" applyFont="1" applyFill="1"/>
    <xf numFmtId="0" fontId="30" fillId="5" borderId="12" xfId="0" applyFont="1" applyFill="1" applyBorder="1" applyAlignment="1">
      <alignment vertical="center"/>
    </xf>
    <xf numFmtId="0" fontId="30" fillId="5" borderId="14" xfId="0" applyFont="1" applyFill="1" applyBorder="1" applyAlignment="1">
      <alignment horizontal="left" vertical="center"/>
    </xf>
    <xf numFmtId="0" fontId="24" fillId="0" borderId="0" xfId="0" applyFont="1" applyAlignment="1">
      <alignment horizontal="center" vertical="center"/>
    </xf>
    <xf numFmtId="0" fontId="24" fillId="0" borderId="11" xfId="0" applyFont="1" applyBorder="1" applyAlignment="1">
      <alignment horizontal="left" vertical="center"/>
    </xf>
    <xf numFmtId="0" fontId="24" fillId="21" borderId="7" xfId="0" applyFont="1" applyFill="1" applyBorder="1"/>
    <xf numFmtId="0" fontId="24" fillId="21" borderId="9" xfId="0" applyFont="1" applyFill="1" applyBorder="1" applyAlignment="1">
      <alignment horizontal="center"/>
    </xf>
    <xf numFmtId="9" fontId="26" fillId="0" borderId="10" xfId="0" applyNumberFormat="1" applyFont="1" applyBorder="1" applyAlignment="1">
      <alignment wrapText="1"/>
    </xf>
    <xf numFmtId="9" fontId="24" fillId="5" borderId="11" xfId="0" applyNumberFormat="1" applyFont="1" applyFill="1" applyBorder="1" applyAlignment="1">
      <alignment horizontal="center" wrapText="1"/>
    </xf>
    <xf numFmtId="9" fontId="26" fillId="0" borderId="12" xfId="0" applyNumberFormat="1" applyFont="1" applyBorder="1" applyAlignment="1">
      <alignment wrapText="1"/>
    </xf>
    <xf numFmtId="9" fontId="24" fillId="5" borderId="14" xfId="0" applyNumberFormat="1" applyFont="1" applyFill="1" applyBorder="1" applyAlignment="1">
      <alignment horizontal="center" wrapText="1"/>
    </xf>
    <xf numFmtId="0" fontId="26" fillId="0" borderId="0" xfId="0" applyFont="1"/>
    <xf numFmtId="0" fontId="24" fillId="21" borderId="50" xfId="0" applyFont="1" applyFill="1" applyBorder="1"/>
    <xf numFmtId="0" fontId="24" fillId="21" borderId="51" xfId="0" applyFont="1" applyFill="1" applyBorder="1"/>
    <xf numFmtId="0" fontId="24" fillId="0" borderId="46" xfId="0" applyFont="1" applyBorder="1"/>
    <xf numFmtId="0" fontId="24" fillId="0" borderId="47" xfId="0" applyFont="1" applyBorder="1"/>
    <xf numFmtId="0" fontId="24" fillId="0" borderId="0" xfId="0" applyFont="1"/>
    <xf numFmtId="0" fontId="16" fillId="0" borderId="10" xfId="4" applyBorder="1"/>
    <xf numFmtId="0" fontId="24" fillId="0" borderId="0" xfId="0" applyFont="1" applyAlignment="1">
      <alignment horizontal="left"/>
    </xf>
    <xf numFmtId="0" fontId="24" fillId="0" borderId="11" xfId="0" applyFont="1" applyBorder="1" applyAlignment="1">
      <alignment horizontal="left"/>
    </xf>
    <xf numFmtId="0" fontId="16" fillId="0" borderId="12" xfId="4" applyBorder="1"/>
    <xf numFmtId="0" fontId="24" fillId="0" borderId="13" xfId="0" applyFont="1" applyBorder="1"/>
    <xf numFmtId="0" fontId="24" fillId="0" borderId="14" xfId="0" applyFont="1" applyBorder="1"/>
    <xf numFmtId="0" fontId="15" fillId="0" borderId="0" xfId="0" applyFont="1"/>
    <xf numFmtId="0" fontId="2" fillId="7" borderId="52" xfId="0" applyFont="1" applyFill="1" applyBorder="1"/>
    <xf numFmtId="0" fontId="0" fillId="7" borderId="53" xfId="0" applyFill="1" applyBorder="1"/>
    <xf numFmtId="0" fontId="0" fillId="0" borderId="54" xfId="0" applyBorder="1"/>
    <xf numFmtId="0" fontId="0" fillId="0" borderId="55" xfId="0" applyBorder="1"/>
    <xf numFmtId="0" fontId="0" fillId="0" borderId="56" xfId="0" applyBorder="1"/>
    <xf numFmtId="0" fontId="2" fillId="7" borderId="54" xfId="0" applyFont="1" applyFill="1" applyBorder="1"/>
    <xf numFmtId="0" fontId="0" fillId="7" borderId="55" xfId="0" applyFill="1" applyBorder="1"/>
    <xf numFmtId="0" fontId="15" fillId="6" borderId="55" xfId="1" applyNumberFormat="1" applyFont="1" applyFill="1" applyBorder="1" applyAlignment="1">
      <alignment horizontal="left"/>
    </xf>
    <xf numFmtId="0" fontId="0" fillId="0" borderId="57" xfId="0" applyBorder="1"/>
    <xf numFmtId="0" fontId="0" fillId="0" borderId="58" xfId="0" applyBorder="1" applyAlignment="1">
      <alignment wrapText="1"/>
    </xf>
    <xf numFmtId="0" fontId="0" fillId="0" borderId="0" xfId="0" applyAlignment="1">
      <alignment horizontal="left" wrapText="1"/>
    </xf>
    <xf numFmtId="0" fontId="24" fillId="21" borderId="42" xfId="0" applyFont="1" applyFill="1" applyBorder="1" applyAlignment="1">
      <alignment horizontal="left" vertical="center" wrapText="1"/>
    </xf>
    <xf numFmtId="0" fontId="24" fillId="21" borderId="32" xfId="0" applyFont="1" applyFill="1" applyBorder="1" applyAlignment="1">
      <alignment horizontal="left" vertical="center" wrapText="1"/>
    </xf>
    <xf numFmtId="0" fontId="24" fillId="21" borderId="43" xfId="0" applyFont="1" applyFill="1" applyBorder="1" applyAlignment="1">
      <alignment horizontal="left" vertical="center" wrapText="1"/>
    </xf>
    <xf numFmtId="0" fontId="24" fillId="21" borderId="7" xfId="0" applyFont="1" applyFill="1" applyBorder="1" applyAlignment="1">
      <alignment horizontal="left" vertical="center" wrapText="1"/>
    </xf>
    <xf numFmtId="0" fontId="24" fillId="21" borderId="8" xfId="0" applyFont="1" applyFill="1" applyBorder="1" applyAlignment="1">
      <alignment horizontal="left" vertical="center" wrapText="1"/>
    </xf>
    <xf numFmtId="0" fontId="30" fillId="5" borderId="40" xfId="0" applyFont="1" applyFill="1" applyBorder="1" applyAlignment="1">
      <alignment horizontal="center" vertical="center"/>
    </xf>
    <xf numFmtId="0" fontId="30" fillId="5" borderId="20" xfId="0" applyFont="1" applyFill="1" applyBorder="1" applyAlignment="1">
      <alignment horizontal="center" vertical="center"/>
    </xf>
    <xf numFmtId="0" fontId="30" fillId="5" borderId="41" xfId="0" applyFont="1" applyFill="1" applyBorder="1" applyAlignment="1">
      <alignment horizontal="center" vertical="center"/>
    </xf>
    <xf numFmtId="0" fontId="30" fillId="5" borderId="44" xfId="0" applyFont="1" applyFill="1" applyBorder="1" applyAlignment="1">
      <alignment horizontal="center" vertical="center" wrapText="1"/>
    </xf>
    <xf numFmtId="0" fontId="30" fillId="5" borderId="35" xfId="0" applyFont="1" applyFill="1" applyBorder="1" applyAlignment="1">
      <alignment horizontal="center" vertical="center" wrapText="1"/>
    </xf>
    <xf numFmtId="0" fontId="30" fillId="5" borderId="45" xfId="0" applyFont="1" applyFill="1" applyBorder="1" applyAlignment="1">
      <alignment horizontal="center" vertical="center" wrapText="1"/>
    </xf>
    <xf numFmtId="0" fontId="2" fillId="0" borderId="0" xfId="0" applyFont="1" applyAlignment="1">
      <alignment horizontal="center" vertical="center" wrapText="1"/>
    </xf>
    <xf numFmtId="0" fontId="8" fillId="2" borderId="7" xfId="0" applyFont="1" applyFill="1" applyBorder="1" applyAlignment="1">
      <alignment horizontal="center" vertical="center"/>
    </xf>
    <xf numFmtId="0" fontId="8" fillId="2" borderId="9" xfId="0" applyFont="1" applyFill="1" applyBorder="1" applyAlignment="1">
      <alignment horizontal="center" vertical="center"/>
    </xf>
    <xf numFmtId="0" fontId="8" fillId="3" borderId="7" xfId="0" applyFont="1" applyFill="1" applyBorder="1" applyAlignment="1">
      <alignment horizontal="center" vertical="center"/>
    </xf>
    <xf numFmtId="0" fontId="8" fillId="3" borderId="9" xfId="0" applyFont="1" applyFill="1" applyBorder="1" applyAlignment="1">
      <alignment horizontal="center" vertical="center"/>
    </xf>
    <xf numFmtId="0" fontId="8" fillId="4" borderId="7" xfId="0" applyFont="1" applyFill="1" applyBorder="1" applyAlignment="1">
      <alignment horizontal="center" vertical="center"/>
    </xf>
    <xf numFmtId="0" fontId="8" fillId="4" borderId="9" xfId="0" applyFont="1" applyFill="1" applyBorder="1" applyAlignment="1">
      <alignment horizontal="center" vertical="center"/>
    </xf>
    <xf numFmtId="0" fontId="8" fillId="19" borderId="7" xfId="0" applyFont="1" applyFill="1" applyBorder="1" applyAlignment="1">
      <alignment horizontal="center" vertical="center"/>
    </xf>
    <xf numFmtId="0" fontId="8" fillId="19" borderId="9" xfId="0" applyFont="1" applyFill="1" applyBorder="1" applyAlignment="1">
      <alignment horizontal="center" vertical="center"/>
    </xf>
    <xf numFmtId="0" fontId="0" fillId="0" borderId="7" xfId="0" applyBorder="1" applyAlignment="1">
      <alignment horizontal="center" vertical="center" wrapText="1"/>
    </xf>
    <xf numFmtId="0" fontId="0" fillId="0" borderId="9" xfId="0" applyBorder="1" applyAlignment="1">
      <alignment horizontal="center" vertical="center" wrapText="1"/>
    </xf>
    <xf numFmtId="0" fontId="15" fillId="6" borderId="0" xfId="1" applyNumberFormat="1" applyFont="1" applyFill="1" applyBorder="1" applyAlignment="1">
      <alignment horizontal="center"/>
    </xf>
    <xf numFmtId="0" fontId="15" fillId="15" borderId="12" xfId="0" applyFont="1" applyFill="1" applyBorder="1" applyAlignment="1">
      <alignment horizontal="center"/>
    </xf>
    <xf numFmtId="0" fontId="15" fillId="15" borderId="14" xfId="0" applyFont="1" applyFill="1" applyBorder="1" applyAlignment="1">
      <alignment horizontal="center"/>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15" fillId="17" borderId="12" xfId="0" applyFont="1" applyFill="1" applyBorder="1" applyAlignment="1">
      <alignment horizontal="center"/>
    </xf>
    <xf numFmtId="0" fontId="15" fillId="17" borderId="14" xfId="0" applyFont="1" applyFill="1" applyBorder="1" applyAlignment="1">
      <alignment horizontal="center"/>
    </xf>
    <xf numFmtId="0" fontId="0" fillId="0" borderId="0" xfId="0" applyAlignment="1">
      <alignment horizontal="center" vertical="center" wrapText="1"/>
    </xf>
    <xf numFmtId="0" fontId="2" fillId="0" borderId="35" xfId="0" applyFont="1" applyBorder="1" applyAlignment="1">
      <alignment horizontal="center" vertical="center" wrapText="1"/>
    </xf>
    <xf numFmtId="9" fontId="15" fillId="6" borderId="0" xfId="1" applyFont="1" applyFill="1" applyBorder="1" applyAlignment="1">
      <alignment horizontal="center"/>
    </xf>
    <xf numFmtId="9" fontId="15" fillId="0" borderId="0" xfId="1" applyFont="1" applyFill="1" applyAlignment="1">
      <alignment horizontal="center"/>
    </xf>
    <xf numFmtId="9" fontId="19" fillId="0" borderId="0" xfId="1" applyFont="1" applyFill="1" applyAlignment="1">
      <alignment horizontal="center"/>
    </xf>
    <xf numFmtId="0" fontId="23" fillId="19" borderId="19" xfId="0" applyFont="1" applyFill="1" applyBorder="1" applyAlignment="1">
      <alignment horizontal="center" vertical="center"/>
    </xf>
    <xf numFmtId="0" fontId="23" fillId="19" borderId="21" xfId="0" applyFont="1" applyFill="1" applyBorder="1" applyAlignment="1">
      <alignment horizontal="center" vertical="center"/>
    </xf>
    <xf numFmtId="0" fontId="2" fillId="10" borderId="0" xfId="0" applyFont="1" applyFill="1" applyAlignment="1">
      <alignment horizontal="center" vertical="center"/>
    </xf>
    <xf numFmtId="0" fontId="0" fillId="6" borderId="0" xfId="0" applyFill="1" applyAlignment="1">
      <alignment horizontal="center"/>
    </xf>
    <xf numFmtId="0" fontId="0" fillId="0" borderId="0" xfId="0" applyAlignment="1">
      <alignment horizontal="center"/>
    </xf>
    <xf numFmtId="0" fontId="9" fillId="8" borderId="0" xfId="2" applyFont="1" applyFill="1" applyAlignment="1">
      <alignment horizontal="center"/>
    </xf>
    <xf numFmtId="0" fontId="39" fillId="23" borderId="0" xfId="2" applyFont="1" applyFill="1" applyAlignment="1">
      <alignment horizontal="center" vertical="center"/>
    </xf>
    <xf numFmtId="0" fontId="40" fillId="23" borderId="0" xfId="2" applyFont="1" applyFill="1" applyAlignment="1">
      <alignment horizontal="center" vertical="center"/>
    </xf>
    <xf numFmtId="0" fontId="39" fillId="23" borderId="0" xfId="2" applyFont="1" applyFill="1" applyAlignment="1">
      <alignment horizontal="center"/>
    </xf>
    <xf numFmtId="0" fontId="9" fillId="4" borderId="1" xfId="2" applyFont="1" applyFill="1" applyBorder="1" applyAlignment="1">
      <alignment horizontal="center"/>
    </xf>
    <xf numFmtId="1" fontId="7" fillId="9" borderId="5" xfId="2" applyNumberFormat="1" applyFill="1" applyBorder="1" applyAlignment="1">
      <alignment horizontal="center"/>
    </xf>
    <xf numFmtId="1" fontId="7" fillId="5" borderId="5" xfId="2" applyNumberFormat="1" applyFill="1" applyBorder="1" applyAlignment="1">
      <alignment horizontal="center"/>
    </xf>
    <xf numFmtId="1" fontId="7" fillId="4" borderId="5" xfId="2" applyNumberFormat="1" applyFill="1" applyBorder="1" applyAlignment="1">
      <alignment horizontal="center"/>
    </xf>
    <xf numFmtId="0" fontId="2" fillId="9" borderId="1" xfId="2" applyFont="1" applyFill="1" applyBorder="1" applyAlignment="1">
      <alignment horizontal="center"/>
    </xf>
    <xf numFmtId="0" fontId="9" fillId="5" borderId="1" xfId="2" applyFont="1" applyFill="1" applyBorder="1" applyAlignment="1">
      <alignment horizontal="center"/>
    </xf>
    <xf numFmtId="1" fontId="7" fillId="4" borderId="6" xfId="2" applyNumberFormat="1" applyFill="1" applyBorder="1" applyAlignment="1">
      <alignment horizontal="center"/>
    </xf>
    <xf numFmtId="1" fontId="7" fillId="9" borderId="6" xfId="2" applyNumberFormat="1" applyFill="1" applyBorder="1" applyAlignment="1">
      <alignment horizontal="center"/>
    </xf>
    <xf numFmtId="1" fontId="7" fillId="5" borderId="6" xfId="2" applyNumberFormat="1" applyFill="1" applyBorder="1" applyAlignment="1">
      <alignment horizontal="center"/>
    </xf>
    <xf numFmtId="0" fontId="11" fillId="4" borderId="0" xfId="2" applyFont="1" applyFill="1" applyAlignment="1">
      <alignment horizontal="center" vertical="center"/>
    </xf>
    <xf numFmtId="0" fontId="38" fillId="0" borderId="0" xfId="0" applyFont="1" applyAlignment="1">
      <alignment wrapText="1"/>
    </xf>
    <xf numFmtId="0" fontId="0" fillId="0" borderId="0" xfId="0" applyAlignment="1"/>
  </cellXfs>
  <cellStyles count="5">
    <cellStyle name="Hivatkozás" xfId="4" builtinId="8"/>
    <cellStyle name="Komma 2" xfId="3" xr:uid="{4BBBA585-869D-470E-9F48-D4BC8E65BF1B}"/>
    <cellStyle name="Normál" xfId="0" builtinId="0"/>
    <cellStyle name="Standard 2" xfId="2" xr:uid="{9CE5B996-00FA-4CF2-BB98-DA508ED6343C}"/>
    <cellStyle name="Százalék" xfId="1" builtinId="5"/>
  </cellStyles>
  <dxfs count="0"/>
  <tableStyles count="0" defaultTableStyle="TableStyleMedium2" defaultPivotStyle="PivotStyleLight16"/>
  <colors>
    <mruColors>
      <color rgb="FFF4F49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5E703-7302-4E86-A36A-F3C1EC283A6C}">
  <dimension ref="C2:G44"/>
  <sheetViews>
    <sheetView showGridLines="0" tabSelected="1" topLeftCell="B1" workbookViewId="0">
      <selection activeCell="G25" sqref="G25"/>
    </sheetView>
  </sheetViews>
  <sheetFormatPr defaultColWidth="11.42578125" defaultRowHeight="14.45"/>
  <cols>
    <col min="3" max="3" width="10.85546875" customWidth="1"/>
    <col min="4" max="4" width="133" customWidth="1"/>
  </cols>
  <sheetData>
    <row r="2" spans="3:7">
      <c r="C2" s="253" t="s">
        <v>0</v>
      </c>
      <c r="D2" s="254"/>
    </row>
    <row r="3" spans="3:7">
      <c r="C3" s="255"/>
      <c r="D3" s="256"/>
    </row>
    <row r="4" spans="3:7" ht="35.450000000000003" customHeight="1">
      <c r="C4" s="257" t="s">
        <v>1</v>
      </c>
      <c r="D4" s="256"/>
    </row>
    <row r="5" spans="3:7">
      <c r="C5" s="255"/>
      <c r="D5" s="256"/>
    </row>
    <row r="6" spans="3:7">
      <c r="C6" s="258" t="s">
        <v>2</v>
      </c>
      <c r="D6" s="259"/>
    </row>
    <row r="7" spans="3:7">
      <c r="C7" s="255"/>
      <c r="D7" s="256"/>
    </row>
    <row r="8" spans="3:7">
      <c r="C8" s="255"/>
      <c r="D8" s="256" t="s">
        <v>3</v>
      </c>
    </row>
    <row r="9" spans="3:7">
      <c r="C9" s="255"/>
      <c r="D9" s="260" t="s">
        <v>4</v>
      </c>
      <c r="E9" s="101"/>
      <c r="F9" s="101"/>
      <c r="G9" s="101"/>
    </row>
    <row r="10" spans="3:7">
      <c r="C10" s="255"/>
      <c r="D10" s="256" t="s">
        <v>5</v>
      </c>
    </row>
    <row r="11" spans="3:7">
      <c r="C11" s="255"/>
      <c r="D11" s="256"/>
    </row>
    <row r="12" spans="3:7">
      <c r="C12" s="258" t="s">
        <v>6</v>
      </c>
      <c r="D12" s="259"/>
    </row>
    <row r="13" spans="3:7">
      <c r="C13" s="255"/>
      <c r="D13" s="256"/>
    </row>
    <row r="14" spans="3:7">
      <c r="C14" s="255"/>
      <c r="D14" s="256" t="s">
        <v>7</v>
      </c>
    </row>
    <row r="15" spans="3:7">
      <c r="C15" s="255"/>
      <c r="D15" s="256" t="s">
        <v>8</v>
      </c>
    </row>
    <row r="16" spans="3:7">
      <c r="C16" s="255"/>
      <c r="D16" s="256" t="s">
        <v>9</v>
      </c>
    </row>
    <row r="17" spans="3:4">
      <c r="C17" s="255"/>
      <c r="D17" s="256"/>
    </row>
    <row r="18" spans="3:4">
      <c r="C18" s="258" t="s">
        <v>10</v>
      </c>
      <c r="D18" s="259"/>
    </row>
    <row r="19" spans="3:4">
      <c r="C19" s="255"/>
      <c r="D19" s="256"/>
    </row>
    <row r="20" spans="3:4">
      <c r="C20" s="255"/>
      <c r="D20" s="256" t="s">
        <v>11</v>
      </c>
    </row>
    <row r="21" spans="3:4">
      <c r="C21" s="255"/>
      <c r="D21" s="256" t="s">
        <v>12</v>
      </c>
    </row>
    <row r="22" spans="3:4">
      <c r="C22" s="255"/>
      <c r="D22" s="256" t="s">
        <v>13</v>
      </c>
    </row>
    <row r="23" spans="3:4">
      <c r="C23" s="255"/>
      <c r="D23" s="256" t="s">
        <v>14</v>
      </c>
    </row>
    <row r="24" spans="3:4">
      <c r="C24" s="255"/>
      <c r="D24" s="256" t="s">
        <v>15</v>
      </c>
    </row>
    <row r="25" spans="3:4">
      <c r="C25" s="255"/>
      <c r="D25" s="256"/>
    </row>
    <row r="26" spans="3:4">
      <c r="C26" s="255"/>
      <c r="D26" s="256" t="s">
        <v>16</v>
      </c>
    </row>
    <row r="27" spans="3:4">
      <c r="C27" s="255"/>
      <c r="D27" s="256" t="s">
        <v>17</v>
      </c>
    </row>
    <row r="28" spans="3:4">
      <c r="C28" s="255"/>
      <c r="D28" s="256" t="s">
        <v>18</v>
      </c>
    </row>
    <row r="29" spans="3:4">
      <c r="C29" s="255"/>
      <c r="D29" s="256" t="s">
        <v>19</v>
      </c>
    </row>
    <row r="30" spans="3:4">
      <c r="C30" s="255"/>
      <c r="D30" s="256" t="s">
        <v>20</v>
      </c>
    </row>
    <row r="31" spans="3:4">
      <c r="C31" s="255"/>
      <c r="D31" s="256" t="s">
        <v>21</v>
      </c>
    </row>
    <row r="32" spans="3:4">
      <c r="C32" s="255"/>
      <c r="D32" s="256" t="s">
        <v>22</v>
      </c>
    </row>
    <row r="33" spans="3:4">
      <c r="C33" s="255"/>
      <c r="D33" s="256"/>
    </row>
    <row r="34" spans="3:4">
      <c r="C34" s="255"/>
      <c r="D34" s="256" t="s">
        <v>23</v>
      </c>
    </row>
    <row r="35" spans="3:4">
      <c r="C35" s="255"/>
      <c r="D35" s="256" t="s">
        <v>24</v>
      </c>
    </row>
    <row r="36" spans="3:4">
      <c r="C36" s="255"/>
      <c r="D36" s="256" t="s">
        <v>25</v>
      </c>
    </row>
    <row r="37" spans="3:4">
      <c r="C37" s="255"/>
      <c r="D37" s="256" t="s">
        <v>26</v>
      </c>
    </row>
    <row r="38" spans="3:4">
      <c r="C38" s="255"/>
      <c r="D38" s="256" t="s">
        <v>27</v>
      </c>
    </row>
    <row r="39" spans="3:4">
      <c r="C39" s="255"/>
      <c r="D39" s="256"/>
    </row>
    <row r="40" spans="3:4">
      <c r="C40" s="255"/>
      <c r="D40" s="256" t="s">
        <v>28</v>
      </c>
    </row>
    <row r="41" spans="3:4">
      <c r="C41" s="255"/>
      <c r="D41" s="256"/>
    </row>
    <row r="42" spans="3:4">
      <c r="C42" s="258" t="s">
        <v>29</v>
      </c>
      <c r="D42" s="259"/>
    </row>
    <row r="43" spans="3:4">
      <c r="C43" s="255"/>
      <c r="D43" s="256"/>
    </row>
    <row r="44" spans="3:4" ht="58.5" customHeight="1">
      <c r="C44" s="261"/>
      <c r="D44" s="262" t="s">
        <v>30</v>
      </c>
    </row>
  </sheetData>
  <sheetProtection algorithmName="SHA-512" hashValue="FYytc03ctpd7u8kbCk9+hqvztUJYKvxqwQKiv6x2BYyRVopsk7KvXHzfpB3kP7M7NfRNGDaUC4v4XkGCwtfMAQ==" saltValue="r315RNEXe5fugYPSS7jezg==" spinCount="100000" sheet="1" objects="1" scenarios="1"/>
  <pageMargins left="0.7" right="0.7" top="0.78740157499999996" bottom="0.78740157499999996"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C4989-12F6-4AC5-B283-52E3738321A3}">
  <sheetPr>
    <tabColor theme="9"/>
  </sheetPr>
  <dimension ref="A1:L50"/>
  <sheetViews>
    <sheetView showGridLines="0" zoomScale="80" zoomScaleNormal="80" zoomScaleSheetLayoutView="70" workbookViewId="0">
      <selection activeCell="B19" sqref="B19"/>
    </sheetView>
  </sheetViews>
  <sheetFormatPr defaultColWidth="8.7109375" defaultRowHeight="14.45"/>
  <cols>
    <col min="1" max="1" width="69.5703125" customWidth="1"/>
    <col min="2" max="2" width="46.140625" customWidth="1"/>
    <col min="3" max="3" width="29.85546875" customWidth="1"/>
    <col min="4" max="4" width="17.85546875" customWidth="1"/>
    <col min="6" max="6" width="11.140625" customWidth="1"/>
  </cols>
  <sheetData>
    <row r="1" spans="1:6">
      <c r="A1" s="186"/>
      <c r="B1" s="187"/>
      <c r="C1" s="188"/>
      <c r="D1" s="3"/>
      <c r="E1" s="3"/>
      <c r="F1" s="3"/>
    </row>
    <row r="2" spans="1:6" ht="48.6" customHeight="1">
      <c r="A2" s="269" t="s">
        <v>31</v>
      </c>
      <c r="B2" s="270"/>
      <c r="C2" s="271"/>
    </row>
    <row r="3" spans="1:6" ht="18.600000000000001">
      <c r="A3" s="189" t="s">
        <v>32</v>
      </c>
      <c r="B3" s="102" t="str">
        <f>'variable elements'!C11</f>
        <v>Port of Kelheim/Saal</v>
      </c>
      <c r="C3" s="190"/>
      <c r="D3" s="50"/>
    </row>
    <row r="4" spans="1:6" ht="18.600000000000001">
      <c r="A4" s="191" t="s">
        <v>33</v>
      </c>
      <c r="B4" s="103" t="str">
        <f>'variable elements'!C12</f>
        <v>Port of Constanța</v>
      </c>
      <c r="C4" s="192" t="s">
        <v>34</v>
      </c>
      <c r="D4" s="51"/>
    </row>
    <row r="5" spans="1:6" ht="28.5" customHeight="1">
      <c r="A5" s="193" t="s">
        <v>35</v>
      </c>
      <c r="B5" s="104">
        <f>'Calculation sheet'!C19</f>
        <v>615.86111111111109</v>
      </c>
      <c r="C5" s="194" t="s">
        <v>36</v>
      </c>
      <c r="D5" s="50"/>
    </row>
    <row r="6" spans="1:6" ht="18.600000000000001">
      <c r="A6" s="195" t="s">
        <v>37</v>
      </c>
      <c r="B6" s="107">
        <f>'Calculation sheet'!C16</f>
        <v>231.94444444444446</v>
      </c>
      <c r="C6" s="196" t="s">
        <v>36</v>
      </c>
      <c r="D6" s="51"/>
      <c r="E6" s="42"/>
      <c r="F6" s="42"/>
    </row>
    <row r="7" spans="1:6" ht="18.600000000000001">
      <c r="A7" s="191"/>
      <c r="B7" s="105">
        <f>'Calculation sheet'!C11</f>
        <v>133.94444444444446</v>
      </c>
      <c r="C7" s="197" t="s">
        <v>38</v>
      </c>
      <c r="D7" s="51"/>
      <c r="E7" s="42"/>
      <c r="F7" s="42"/>
    </row>
    <row r="8" spans="1:6" ht="18.600000000000001">
      <c r="A8" s="198"/>
      <c r="B8" s="106">
        <f>'Calculation sheet'!C12+'Calculation sheet'!C15</f>
        <v>98</v>
      </c>
      <c r="C8" s="199" t="s">
        <v>39</v>
      </c>
      <c r="D8" s="51"/>
      <c r="E8" s="42"/>
      <c r="F8" s="42"/>
    </row>
    <row r="9" spans="1:6" ht="15" customHeight="1">
      <c r="A9" s="195" t="s">
        <v>40</v>
      </c>
      <c r="B9" s="107">
        <f>'Calculation sheet'!E16</f>
        <v>383.91666666666663</v>
      </c>
      <c r="C9" s="196" t="s">
        <v>36</v>
      </c>
      <c r="D9" s="50"/>
    </row>
    <row r="10" spans="1:6" ht="15" customHeight="1">
      <c r="A10" s="200"/>
      <c r="B10" s="105">
        <f>'Calculation sheet'!E11</f>
        <v>200.91666666666666</v>
      </c>
      <c r="C10" s="197" t="s">
        <v>38</v>
      </c>
      <c r="D10" s="50"/>
    </row>
    <row r="11" spans="1:6" ht="18.600000000000001">
      <c r="A11" s="201"/>
      <c r="B11" s="106">
        <f>'Calculation sheet'!E12+'Calculation sheet'!E15</f>
        <v>183</v>
      </c>
      <c r="C11" s="199" t="s">
        <v>39</v>
      </c>
      <c r="D11" s="50"/>
    </row>
    <row r="12" spans="1:6" ht="59.1" customHeight="1">
      <c r="A12" s="264" t="s">
        <v>41</v>
      </c>
      <c r="B12" s="265"/>
      <c r="C12" s="266"/>
      <c r="D12" s="51"/>
      <c r="E12" s="42"/>
      <c r="F12" s="42"/>
    </row>
    <row r="13" spans="1:6" ht="60.75" customHeight="1">
      <c r="A13" s="202"/>
      <c r="B13" s="203"/>
      <c r="C13" s="204"/>
      <c r="D13" s="51"/>
      <c r="E13" s="42"/>
      <c r="F13" s="42"/>
    </row>
    <row r="14" spans="1:6" ht="53.45" customHeight="1">
      <c r="A14" s="272" t="s">
        <v>42</v>
      </c>
      <c r="B14" s="273"/>
      <c r="C14" s="274"/>
      <c r="D14" s="53"/>
      <c r="E14" s="48"/>
      <c r="F14" s="48"/>
    </row>
    <row r="15" spans="1:6" ht="38.1" customHeight="1">
      <c r="A15" s="205" t="s">
        <v>43</v>
      </c>
      <c r="B15" s="108" t="str">
        <f>'variable elements'!C15</f>
        <v>Pusher and Barges</v>
      </c>
      <c r="C15" s="206"/>
      <c r="D15" s="53"/>
      <c r="E15" s="48"/>
      <c r="F15" s="48"/>
    </row>
    <row r="16" spans="1:6" ht="15.6" customHeight="1">
      <c r="A16" s="207" t="s">
        <v>44</v>
      </c>
      <c r="B16" s="109" t="str">
        <f>'variable elements'!C16</f>
        <v>OWN</v>
      </c>
      <c r="C16" s="206"/>
      <c r="D16" s="53"/>
      <c r="E16" s="48"/>
      <c r="F16" s="48"/>
    </row>
    <row r="17" spans="1:12" ht="14.45" customHeight="1">
      <c r="A17" s="208" t="s">
        <v>45</v>
      </c>
      <c r="B17" s="109" t="str">
        <f>'variable elements'!C17</f>
        <v>OWN</v>
      </c>
      <c r="C17" s="206"/>
      <c r="D17" s="53"/>
      <c r="E17" s="48"/>
      <c r="F17" s="48"/>
    </row>
    <row r="18" spans="1:12" ht="14.45" customHeight="1">
      <c r="A18" s="209" t="s">
        <v>46</v>
      </c>
      <c r="B18" s="110" t="str">
        <f>'variable elements'!C18</f>
        <v>OWN</v>
      </c>
      <c r="C18" s="206"/>
      <c r="D18" s="53"/>
      <c r="E18" s="48"/>
      <c r="F18" s="48"/>
    </row>
    <row r="19" spans="1:12" ht="18.600000000000001">
      <c r="A19" s="210" t="s">
        <v>47</v>
      </c>
      <c r="B19" s="112">
        <f>IF('variable elements'!C15="MCV",'Calculation sheet'!C23,'Calculation sheet'!C24)</f>
        <v>288</v>
      </c>
      <c r="C19" s="211"/>
      <c r="D19" s="53"/>
      <c r="E19" s="48"/>
      <c r="F19" s="48"/>
    </row>
    <row r="20" spans="1:12" ht="18.600000000000001">
      <c r="A20" s="212"/>
      <c r="B20" s="213"/>
      <c r="C20" s="206"/>
      <c r="D20" s="53"/>
      <c r="E20" s="48"/>
      <c r="F20" s="48"/>
    </row>
    <row r="21" spans="1:12" ht="43.5" customHeight="1">
      <c r="A21" s="212"/>
      <c r="B21" s="213"/>
      <c r="C21" s="206"/>
      <c r="D21" s="53"/>
      <c r="E21" s="48"/>
      <c r="F21" s="48"/>
    </row>
    <row r="22" spans="1:12" ht="55.5" customHeight="1">
      <c r="A22" s="269" t="s">
        <v>48</v>
      </c>
      <c r="B22" s="270"/>
      <c r="C22" s="271"/>
      <c r="D22" s="53"/>
      <c r="E22" s="48"/>
      <c r="F22" s="48"/>
    </row>
    <row r="23" spans="1:12" ht="34.5" customHeight="1">
      <c r="A23" s="267" t="s">
        <v>49</v>
      </c>
      <c r="B23" s="268"/>
      <c r="C23" s="214"/>
      <c r="D23" s="42"/>
      <c r="E23" s="42"/>
    </row>
    <row r="24" spans="1:12" ht="18.600000000000001">
      <c r="A24" s="215" t="s">
        <v>50</v>
      </c>
      <c r="B24" s="55">
        <f>'Calculation sheet'!C33</f>
        <v>1513.7584803256448</v>
      </c>
      <c r="C24" s="216" t="s">
        <v>51</v>
      </c>
    </row>
    <row r="25" spans="1:12" ht="18.600000000000001">
      <c r="A25" s="202" t="s">
        <v>52</v>
      </c>
      <c r="B25" s="56">
        <f>B26-B24</f>
        <v>1048.6123964104665</v>
      </c>
      <c r="C25" s="217" t="s">
        <v>53</v>
      </c>
    </row>
    <row r="26" spans="1:12" ht="36.950000000000003">
      <c r="A26" s="218" t="s">
        <v>54</v>
      </c>
      <c r="B26" s="111">
        <f>'Calculation sheet'!C48</f>
        <v>2562.3708767361113</v>
      </c>
      <c r="C26" s="219" t="s">
        <v>55</v>
      </c>
    </row>
    <row r="27" spans="1:12" ht="18.600000000000001">
      <c r="A27" s="191"/>
      <c r="B27" s="220"/>
      <c r="C27" s="221"/>
    </row>
    <row r="28" spans="1:12" ht="18.75" customHeight="1">
      <c r="A28" s="222" t="s">
        <v>56</v>
      </c>
      <c r="B28" s="113">
        <f>'variable elements'!C7</f>
        <v>0.06</v>
      </c>
      <c r="C28" s="223"/>
    </row>
    <row r="29" spans="1:12" ht="15" customHeight="1">
      <c r="A29" s="191"/>
      <c r="B29" s="224"/>
      <c r="C29" s="192"/>
    </row>
    <row r="30" spans="1:12" ht="23.45">
      <c r="A30" s="225" t="s">
        <v>57</v>
      </c>
      <c r="B30" s="226">
        <f>'Calculation sheet'!C55</f>
        <v>106007.33178802014</v>
      </c>
      <c r="C30" s="227"/>
    </row>
    <row r="31" spans="1:12" ht="18.600000000000001">
      <c r="A31" s="228"/>
      <c r="B31" s="229"/>
      <c r="C31" s="227"/>
    </row>
    <row r="32" spans="1:12" s="11" customFormat="1" ht="22.5" customHeight="1">
      <c r="A32" s="230" t="s">
        <v>58</v>
      </c>
      <c r="B32" s="115">
        <f>'Calculation sheet'!C57</f>
        <v>237.47162138893398</v>
      </c>
      <c r="C32" s="231" t="s">
        <v>59</v>
      </c>
      <c r="D32"/>
      <c r="E32"/>
      <c r="F32"/>
      <c r="G32"/>
      <c r="H32"/>
      <c r="I32"/>
      <c r="J32" t="s">
        <v>60</v>
      </c>
      <c r="K32"/>
      <c r="L32"/>
    </row>
    <row r="33" spans="1:12" s="11" customFormat="1" ht="22.5" customHeight="1">
      <c r="A33" s="193"/>
      <c r="B33" s="232"/>
      <c r="C33" s="233"/>
      <c r="D33"/>
      <c r="E33"/>
      <c r="F33"/>
      <c r="G33"/>
      <c r="H33"/>
      <c r="I33"/>
      <c r="J33"/>
      <c r="K33"/>
      <c r="L33"/>
    </row>
    <row r="34" spans="1:12" ht="18.600000000000001">
      <c r="A34" s="234" t="s">
        <v>61</v>
      </c>
      <c r="B34" s="59"/>
      <c r="C34" s="235" t="s">
        <v>62</v>
      </c>
      <c r="D34" s="43"/>
      <c r="E34" s="43"/>
    </row>
    <row r="35" spans="1:12" ht="15" customHeight="1">
      <c r="A35" s="236" t="s">
        <v>63</v>
      </c>
      <c r="B35" s="56">
        <f>'Calculation sheet'!C52</f>
        <v>173.62311941172061</v>
      </c>
      <c r="C35" s="237">
        <f>'variable elements'!C28</f>
        <v>0.8</v>
      </c>
      <c r="K35" s="263"/>
      <c r="L35" s="263"/>
    </row>
    <row r="36" spans="1:12" ht="14.45" customHeight="1">
      <c r="A36" s="238" t="s">
        <v>64</v>
      </c>
      <c r="B36" s="57">
        <f>'Calculation sheet'!E52</f>
        <v>284.059724361934</v>
      </c>
      <c r="C36" s="239">
        <f>'variable elements'!C29</f>
        <v>0.75</v>
      </c>
    </row>
    <row r="37" spans="1:12" ht="18.600000000000001">
      <c r="A37" s="191"/>
      <c r="B37" s="240"/>
      <c r="C37" s="221"/>
    </row>
    <row r="38" spans="1:12" ht="18.600000000000001">
      <c r="A38" s="241" t="s">
        <v>65</v>
      </c>
      <c r="B38" s="58"/>
      <c r="C38" s="242"/>
    </row>
    <row r="39" spans="1:12" ht="18.600000000000001">
      <c r="A39" s="191" t="s">
        <v>66</v>
      </c>
      <c r="B39" s="56">
        <f>'Calculation sheet'!C35</f>
        <v>124.3125</v>
      </c>
      <c r="C39" s="221" t="s">
        <v>60</v>
      </c>
    </row>
    <row r="40" spans="1:12" ht="18.600000000000001">
      <c r="A40" s="191" t="s">
        <v>67</v>
      </c>
      <c r="B40" s="56">
        <f>'Calculation sheet'!C41</f>
        <v>12.75</v>
      </c>
      <c r="C40" s="221"/>
    </row>
    <row r="41" spans="1:12" ht="18.600000000000001">
      <c r="A41" s="243" t="s">
        <v>68</v>
      </c>
      <c r="B41" s="114">
        <f>'variable elements'!C32/24</f>
        <v>27.083333333333332</v>
      </c>
      <c r="C41" s="244"/>
    </row>
    <row r="42" spans="1:12" ht="18.600000000000001">
      <c r="A42" s="202"/>
      <c r="B42" s="240"/>
      <c r="C42" s="217"/>
      <c r="D42" s="50"/>
    </row>
    <row r="43" spans="1:12" ht="18.600000000000001">
      <c r="A43" s="202" t="s">
        <v>69</v>
      </c>
      <c r="B43" s="245"/>
      <c r="C43" s="221"/>
      <c r="D43" s="52"/>
      <c r="E43" s="2"/>
      <c r="F43" s="2"/>
      <c r="G43" s="2"/>
    </row>
    <row r="44" spans="1:12" ht="18.600000000000001">
      <c r="A44" s="246" t="s">
        <v>70</v>
      </c>
      <c r="B44" s="247"/>
      <c r="C44" s="248"/>
      <c r="D44" s="54"/>
      <c r="E44" s="49"/>
      <c r="F44" s="49"/>
      <c r="G44" s="49"/>
    </row>
    <row r="45" spans="1:12" ht="18.600000000000001">
      <c r="A45" s="249" t="s">
        <v>71</v>
      </c>
      <c r="B45" s="250"/>
      <c r="C45" s="251"/>
      <c r="D45" s="52"/>
      <c r="E45" s="2"/>
      <c r="F45" s="2"/>
      <c r="G45" s="2"/>
    </row>
    <row r="50" spans="1:1">
      <c r="A50" t="s">
        <v>60</v>
      </c>
    </row>
  </sheetData>
  <sheetProtection algorithmName="SHA-512" hashValue="0Y9if5fjzOylGFM7LyUtfv/XF7ad6poJkXLvdI7u1vCagsdfu4R4v8Zj7lq/4rPdUD1u/tIML4BcME9biyqWHg==" saltValue="/bKDC8Rq9wcuKehNq3z2kA==" spinCount="100000" sheet="1" objects="1" scenarios="1"/>
  <mergeCells count="6">
    <mergeCell ref="K35:L35"/>
    <mergeCell ref="A12:C12"/>
    <mergeCell ref="A23:B23"/>
    <mergeCell ref="A2:C2"/>
    <mergeCell ref="A14:C14"/>
    <mergeCell ref="A22:C22"/>
  </mergeCells>
  <hyperlinks>
    <hyperlink ref="A44" location="'help desk'!A90" display="     a. Port handling costs for origin port and destination port" xr:uid="{E241E4A0-66B2-4AA8-8EF7-FD7326D34A69}"/>
    <hyperlink ref="A45" location="'help desk'!A79" display="     b. First and last mile cost per truck or train" xr:uid="{21007A5A-A7DE-4516-A29E-5691D1C1065C}"/>
  </hyperlinks>
  <printOptions horizontalCentered="1"/>
  <pageMargins left="0.70866141732283472" right="0.70866141732283472" top="0.74803149606299213" bottom="0.74803149606299213" header="0.31496062992125984" footer="0.31496062992125984"/>
  <pageSetup paperSize="9" scale="50"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85DD7-E009-4C3F-AD04-F5F959F06121}">
  <sheetPr>
    <tabColor rgb="FFFFFF00"/>
    <pageSetUpPr fitToPage="1"/>
  </sheetPr>
  <dimension ref="A1:M43"/>
  <sheetViews>
    <sheetView showGridLines="0" zoomScale="80" zoomScaleNormal="80" workbookViewId="0">
      <selection activeCell="K8" sqref="K8"/>
    </sheetView>
  </sheetViews>
  <sheetFormatPr defaultColWidth="11.42578125" defaultRowHeight="14.45"/>
  <cols>
    <col min="1" max="2" width="20.7109375" customWidth="1"/>
    <col min="3" max="3" width="4.140625" customWidth="1"/>
    <col min="4" max="5" width="20.7109375" customWidth="1"/>
    <col min="6" max="6" width="4.140625" customWidth="1"/>
    <col min="7" max="8" width="20.7109375" customWidth="1"/>
    <col min="9" max="9" width="4.140625" customWidth="1"/>
    <col min="10" max="11" width="20.7109375" customWidth="1"/>
    <col min="12" max="12" width="10" bestFit="1" customWidth="1"/>
    <col min="13" max="13" width="11.5703125" bestFit="1" customWidth="1"/>
    <col min="14" max="14" width="9.140625" customWidth="1"/>
  </cols>
  <sheetData>
    <row r="1" spans="1:13" ht="45.75" customHeight="1">
      <c r="A1" s="276" t="s">
        <v>72</v>
      </c>
      <c r="B1" s="277"/>
      <c r="C1" s="76"/>
      <c r="D1" s="278" t="s">
        <v>73</v>
      </c>
      <c r="E1" s="279"/>
      <c r="F1" s="76"/>
      <c r="G1" s="280" t="s">
        <v>74</v>
      </c>
      <c r="H1" s="281"/>
      <c r="I1" s="76"/>
      <c r="J1" s="282" t="s">
        <v>75</v>
      </c>
      <c r="K1" s="283"/>
    </row>
    <row r="2" spans="1:13">
      <c r="A2" s="62"/>
      <c r="B2" s="63"/>
      <c r="D2" s="62"/>
      <c r="E2" s="63"/>
      <c r="G2" s="62"/>
      <c r="H2" s="63"/>
      <c r="J2" s="62"/>
      <c r="K2" s="63"/>
    </row>
    <row r="3" spans="1:13" ht="30" customHeight="1">
      <c r="A3" s="78" t="s">
        <v>76</v>
      </c>
      <c r="B3" s="78" t="s">
        <v>77</v>
      </c>
      <c r="D3" s="80" t="s">
        <v>76</v>
      </c>
      <c r="E3" s="80" t="s">
        <v>77</v>
      </c>
      <c r="G3" s="82" t="s">
        <v>76</v>
      </c>
      <c r="H3" s="82" t="s">
        <v>77</v>
      </c>
      <c r="J3" s="84" t="s">
        <v>76</v>
      </c>
      <c r="K3" s="85" t="s">
        <v>77</v>
      </c>
    </row>
    <row r="4" spans="1:13" ht="30" customHeight="1">
      <c r="A4" s="79">
        <v>1250</v>
      </c>
      <c r="B4" s="79">
        <v>5000000</v>
      </c>
      <c r="C4" s="98"/>
      <c r="D4" s="81">
        <v>1250</v>
      </c>
      <c r="E4" s="81">
        <v>5000000</v>
      </c>
      <c r="F4" s="98"/>
      <c r="G4" s="83">
        <v>350</v>
      </c>
      <c r="H4" s="83">
        <v>600000</v>
      </c>
      <c r="I4" s="98"/>
      <c r="J4" s="86">
        <v>2</v>
      </c>
      <c r="K4" s="87">
        <v>1000</v>
      </c>
    </row>
    <row r="5" spans="1:13">
      <c r="A5" s="60"/>
      <c r="B5" s="61"/>
      <c r="D5" s="60"/>
      <c r="E5" s="61"/>
      <c r="G5" s="60"/>
      <c r="H5" s="61"/>
      <c r="J5" s="88" t="s">
        <v>78</v>
      </c>
      <c r="K5" s="89" t="s">
        <v>78</v>
      </c>
    </row>
    <row r="6" spans="1:13">
      <c r="A6" s="60"/>
      <c r="B6" s="61"/>
      <c r="D6" s="60"/>
      <c r="E6" s="61"/>
      <c r="G6" s="60"/>
      <c r="H6" s="61"/>
      <c r="J6" s="90">
        <v>250</v>
      </c>
      <c r="K6" s="91">
        <v>120</v>
      </c>
    </row>
    <row r="7" spans="1:13" ht="24.75" customHeight="1">
      <c r="A7" s="60"/>
      <c r="B7" s="64" t="s">
        <v>79</v>
      </c>
      <c r="D7" s="60"/>
      <c r="E7" s="66" t="s">
        <v>79</v>
      </c>
      <c r="G7" s="60"/>
      <c r="H7" s="70" t="s">
        <v>79</v>
      </c>
      <c r="J7" s="60"/>
      <c r="K7" s="71" t="s">
        <v>79</v>
      </c>
    </row>
    <row r="8" spans="1:13">
      <c r="A8" s="60"/>
      <c r="B8" s="185">
        <v>1</v>
      </c>
      <c r="C8" s="2"/>
      <c r="D8" s="67"/>
      <c r="E8" s="185">
        <v>11</v>
      </c>
      <c r="F8" s="2"/>
      <c r="G8" s="67"/>
      <c r="H8" s="185">
        <v>1</v>
      </c>
      <c r="I8" s="2"/>
      <c r="J8" s="67"/>
      <c r="K8" s="185">
        <v>8</v>
      </c>
      <c r="L8" s="252"/>
      <c r="M8" s="252"/>
    </row>
    <row r="9" spans="1:13" ht="19.5" customHeight="1">
      <c r="A9" s="284" t="s">
        <v>80</v>
      </c>
      <c r="B9" s="285"/>
      <c r="D9" s="284" t="s">
        <v>80</v>
      </c>
      <c r="E9" s="285"/>
      <c r="G9" s="284" t="s">
        <v>80</v>
      </c>
      <c r="H9" s="285"/>
      <c r="J9" s="284" t="s">
        <v>80</v>
      </c>
      <c r="K9" s="285"/>
    </row>
    <row r="10" spans="1:13">
      <c r="A10" s="68">
        <f>A4*365</f>
        <v>456250</v>
      </c>
      <c r="B10" s="69">
        <f>B4/B8</f>
        <v>5000000</v>
      </c>
      <c r="C10" s="2"/>
      <c r="D10" s="68">
        <f>D4*365</f>
        <v>456250</v>
      </c>
      <c r="E10" s="69">
        <f>E4/E8</f>
        <v>454545.45454545453</v>
      </c>
      <c r="F10" s="2"/>
      <c r="G10" s="74">
        <f>G4*365</f>
        <v>127750</v>
      </c>
      <c r="H10" s="75">
        <f>H4/H8</f>
        <v>600000</v>
      </c>
      <c r="I10" s="2"/>
      <c r="J10" s="72">
        <f>J4*J6*365</f>
        <v>182500</v>
      </c>
      <c r="K10" s="73">
        <f>K4*K6/K8</f>
        <v>15000</v>
      </c>
    </row>
    <row r="11" spans="1:13">
      <c r="A11" s="289" t="s">
        <v>81</v>
      </c>
      <c r="B11" s="290"/>
      <c r="D11" s="30"/>
      <c r="E11" s="30"/>
      <c r="G11" s="289" t="s">
        <v>81</v>
      </c>
      <c r="H11" s="290"/>
      <c r="K11" s="77"/>
    </row>
    <row r="12" spans="1:13">
      <c r="A12" s="287">
        <v>144</v>
      </c>
      <c r="B12" s="288"/>
      <c r="D12" s="30"/>
      <c r="E12" s="30"/>
      <c r="G12" s="291">
        <v>288</v>
      </c>
      <c r="H12" s="292"/>
      <c r="K12" s="77"/>
    </row>
    <row r="13" spans="1:13">
      <c r="A13" s="289"/>
      <c r="B13" s="293"/>
      <c r="D13" s="293"/>
      <c r="E13" s="293"/>
      <c r="G13" s="293"/>
      <c r="H13" s="293"/>
      <c r="K13" s="77"/>
    </row>
    <row r="14" spans="1:13">
      <c r="A14" s="65"/>
      <c r="B14" s="30"/>
      <c r="D14" s="30"/>
      <c r="E14" s="30"/>
      <c r="G14" s="30"/>
      <c r="H14" s="30"/>
      <c r="K14" s="77"/>
    </row>
    <row r="15" spans="1:13" ht="27.75" customHeight="1">
      <c r="A15" s="117"/>
      <c r="B15" s="118"/>
      <c r="C15" s="119"/>
      <c r="D15" s="118"/>
      <c r="E15" s="294" t="s">
        <v>82</v>
      </c>
      <c r="F15" s="294"/>
      <c r="G15" s="294"/>
      <c r="H15" s="118"/>
      <c r="I15" s="119"/>
      <c r="J15" s="119"/>
      <c r="K15" s="120"/>
    </row>
    <row r="16" spans="1:13">
      <c r="A16" s="121"/>
      <c r="B16" s="30"/>
      <c r="D16" s="30"/>
      <c r="E16" s="295">
        <v>0.03</v>
      </c>
      <c r="F16" s="295"/>
      <c r="G16" s="295"/>
      <c r="H16" s="30"/>
      <c r="K16" s="122"/>
    </row>
    <row r="17" spans="1:11" ht="30" customHeight="1">
      <c r="A17" s="121"/>
      <c r="B17" s="30"/>
      <c r="D17" s="30"/>
      <c r="E17" s="275" t="s">
        <v>83</v>
      </c>
      <c r="F17" s="275"/>
      <c r="G17" s="275"/>
      <c r="H17" s="30"/>
      <c r="K17" s="122"/>
    </row>
    <row r="18" spans="1:11">
      <c r="A18" s="121"/>
      <c r="B18" s="30"/>
      <c r="D18" s="30"/>
      <c r="E18" s="295">
        <v>0.02</v>
      </c>
      <c r="F18" s="295"/>
      <c r="G18" s="295"/>
      <c r="H18" s="30"/>
      <c r="K18" s="122"/>
    </row>
    <row r="19" spans="1:11" ht="30" customHeight="1">
      <c r="A19" s="121"/>
      <c r="B19" s="30"/>
      <c r="D19" s="30"/>
      <c r="E19" s="275" t="s">
        <v>84</v>
      </c>
      <c r="F19" s="275"/>
      <c r="G19" s="275"/>
      <c r="H19" s="30"/>
      <c r="K19" s="122"/>
    </row>
    <row r="20" spans="1:11">
      <c r="A20" s="121"/>
      <c r="B20" s="30"/>
      <c r="D20" s="30"/>
      <c r="E20" s="295">
        <v>0.02</v>
      </c>
      <c r="F20" s="295"/>
      <c r="G20" s="295"/>
      <c r="H20" s="30"/>
      <c r="K20" s="122"/>
    </row>
    <row r="21" spans="1:11" ht="30" customHeight="1">
      <c r="A21" s="121"/>
      <c r="B21" s="30"/>
      <c r="D21" s="30"/>
      <c r="E21" s="275" t="s">
        <v>85</v>
      </c>
      <c r="F21" s="275"/>
      <c r="G21" s="275"/>
      <c r="H21" s="30"/>
      <c r="K21" s="122"/>
    </row>
    <row r="22" spans="1:11">
      <c r="A22" s="121"/>
      <c r="B22" s="30"/>
      <c r="D22" s="30"/>
      <c r="E22" s="295">
        <v>0.01</v>
      </c>
      <c r="F22" s="295"/>
      <c r="G22" s="295"/>
      <c r="H22" s="30"/>
      <c r="K22" s="122"/>
    </row>
    <row r="23" spans="1:11" ht="45" customHeight="1">
      <c r="A23" s="121"/>
      <c r="B23" s="30"/>
      <c r="D23" s="30"/>
      <c r="E23" s="275" t="s">
        <v>86</v>
      </c>
      <c r="F23" s="275"/>
      <c r="G23" s="275"/>
      <c r="H23" s="30"/>
      <c r="K23" s="122"/>
    </row>
    <row r="24" spans="1:11">
      <c r="A24" s="121"/>
      <c r="B24" s="30"/>
      <c r="D24" s="30"/>
      <c r="E24" s="286">
        <v>335</v>
      </c>
      <c r="F24" s="286"/>
      <c r="G24" s="286"/>
      <c r="H24" s="30"/>
      <c r="K24" s="122"/>
    </row>
    <row r="25" spans="1:11">
      <c r="A25" s="123"/>
      <c r="B25" s="124"/>
      <c r="C25" s="125"/>
      <c r="D25" s="124"/>
      <c r="E25" s="124"/>
      <c r="F25" s="125"/>
      <c r="G25" s="124"/>
      <c r="H25" s="124"/>
      <c r="I25" s="125"/>
      <c r="J25" s="125"/>
      <c r="K25" s="126"/>
    </row>
    <row r="26" spans="1:11">
      <c r="A26" s="65"/>
      <c r="B26" s="30"/>
      <c r="D26" s="30"/>
      <c r="E26" s="30"/>
      <c r="G26" s="30"/>
      <c r="H26" s="30"/>
      <c r="K26" s="77"/>
    </row>
    <row r="27" spans="1:11">
      <c r="A27" s="65"/>
      <c r="B27" s="30"/>
      <c r="D27" s="30"/>
      <c r="E27" s="30"/>
      <c r="G27" s="30"/>
      <c r="H27" s="30"/>
      <c r="K27" s="77"/>
    </row>
    <row r="28" spans="1:11" ht="43.5">
      <c r="A28" s="92" t="s">
        <v>87</v>
      </c>
      <c r="B28" s="92" t="s">
        <v>88</v>
      </c>
      <c r="C28" s="99"/>
      <c r="D28" s="94" t="s">
        <v>89</v>
      </c>
      <c r="E28" s="94" t="s">
        <v>88</v>
      </c>
      <c r="F28" s="99"/>
      <c r="G28" s="127" t="s">
        <v>90</v>
      </c>
      <c r="H28" s="96" t="s">
        <v>91</v>
      </c>
      <c r="I28" s="99"/>
      <c r="J28" s="128" t="s">
        <v>92</v>
      </c>
      <c r="K28" s="129" t="s">
        <v>93</v>
      </c>
    </row>
    <row r="29" spans="1:11">
      <c r="A29" s="93">
        <f>A10*(1+E16+E18+E20+E22)/E24</f>
        <v>1470.8955223880598</v>
      </c>
      <c r="B29" s="93">
        <f>B10*(1+E16+E18+E20+E22)/E24</f>
        <v>16119.402985074626</v>
      </c>
      <c r="C29" s="100"/>
      <c r="D29" s="95">
        <f>D10*(1+E16+E18+E20+E22)/E24</f>
        <v>1470.8955223880598</v>
      </c>
      <c r="E29" s="95">
        <f>E10*(1+E16+E18+E20+E22)/E24</f>
        <v>1465.4002713704208</v>
      </c>
      <c r="F29" s="100"/>
      <c r="G29" s="74">
        <f>G10*(1+E16+E18+E20+E22)/E24</f>
        <v>411.85074626865674</v>
      </c>
      <c r="H29" s="74">
        <f>H10*(1+E16+E18+E20+E22)/E24</f>
        <v>1934.3283582089553</v>
      </c>
      <c r="I29" s="100"/>
      <c r="J29" s="97">
        <f>J10*(1+E16+E18+E20+E22)/E24</f>
        <v>588.35820895522386</v>
      </c>
      <c r="K29" s="97">
        <f>K10*(1+E16+E18+E20+E22)/E24</f>
        <v>48.358208955223887</v>
      </c>
    </row>
    <row r="34" spans="5:7">
      <c r="E34" s="297"/>
      <c r="F34" s="297"/>
      <c r="G34" s="297"/>
    </row>
    <row r="35" spans="5:7">
      <c r="E35" s="296"/>
      <c r="F35" s="296"/>
      <c r="G35" s="296"/>
    </row>
    <row r="36" spans="5:7">
      <c r="E36" s="297"/>
      <c r="F36" s="297"/>
      <c r="G36" s="297"/>
    </row>
    <row r="37" spans="5:7">
      <c r="E37" s="296"/>
      <c r="F37" s="296"/>
      <c r="G37" s="296"/>
    </row>
    <row r="38" spans="5:7">
      <c r="E38" s="297"/>
      <c r="F38" s="296"/>
      <c r="G38" s="296"/>
    </row>
    <row r="39" spans="5:7">
      <c r="E39" s="296"/>
      <c r="F39" s="296"/>
      <c r="G39" s="296"/>
    </row>
    <row r="40" spans="5:7" ht="14.45" customHeight="1">
      <c r="E40" s="275"/>
      <c r="F40" s="275"/>
      <c r="G40" s="275"/>
    </row>
    <row r="41" spans="5:7">
      <c r="E41" s="275"/>
      <c r="F41" s="275"/>
      <c r="G41" s="275"/>
    </row>
    <row r="42" spans="5:7">
      <c r="E42" s="275"/>
      <c r="F42" s="275"/>
      <c r="G42" s="275"/>
    </row>
    <row r="43" spans="5:7">
      <c r="E43" s="318"/>
      <c r="F43" s="318"/>
      <c r="G43" s="318"/>
    </row>
  </sheetData>
  <mergeCells count="33">
    <mergeCell ref="E43:G43"/>
    <mergeCell ref="E39:G39"/>
    <mergeCell ref="E40:G42"/>
    <mergeCell ref="E34:G34"/>
    <mergeCell ref="E35:G35"/>
    <mergeCell ref="E36:G36"/>
    <mergeCell ref="E37:G37"/>
    <mergeCell ref="E38:G38"/>
    <mergeCell ref="E24:G24"/>
    <mergeCell ref="A12:B12"/>
    <mergeCell ref="G11:H11"/>
    <mergeCell ref="G12:H12"/>
    <mergeCell ref="A13:B13"/>
    <mergeCell ref="D13:E13"/>
    <mergeCell ref="G13:H13"/>
    <mergeCell ref="E23:G23"/>
    <mergeCell ref="E15:G15"/>
    <mergeCell ref="E16:G16"/>
    <mergeCell ref="E17:G17"/>
    <mergeCell ref="A11:B11"/>
    <mergeCell ref="E18:G18"/>
    <mergeCell ref="E19:G19"/>
    <mergeCell ref="E22:G22"/>
    <mergeCell ref="E20:G20"/>
    <mergeCell ref="E21:G21"/>
    <mergeCell ref="A1:B1"/>
    <mergeCell ref="D1:E1"/>
    <mergeCell ref="G1:H1"/>
    <mergeCell ref="J1:K1"/>
    <mergeCell ref="A9:B9"/>
    <mergeCell ref="D9:E9"/>
    <mergeCell ref="G9:H9"/>
    <mergeCell ref="J9:K9"/>
  </mergeCells>
  <printOptions horizontalCentered="1" verticalCentered="1"/>
  <pageMargins left="0.7" right="0.7" top="0.78740157499999996" bottom="0.78740157499999996" header="0.3" footer="0.3"/>
  <pageSetup paperSize="9" fitToHeight="0" orientation="landscape"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611CCFA-2151-4484-BF24-B3BE0112DD78}">
          <x14:formula1>
            <xm:f>drop_down_lists!$C$11:$C$50</xm:f>
          </x14:formula1>
          <xm:sqref>H8 E8 B8</xm:sqref>
        </x14:dataValidation>
        <x14:dataValidation type="list" allowBlank="1" showInputMessage="1" showErrorMessage="1" xr:uid="{1341ED48-1C30-4EE7-948B-3592CDA2CBED}">
          <x14:formula1>
            <xm:f>drop_down_lists!$C$11:$C$20</xm:f>
          </x14:formula1>
          <xm:sqref>K8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46080-E02D-4A43-9DDC-22E8583889E5}">
  <sheetPr>
    <tabColor rgb="FFFFFF00"/>
    <pageSetUpPr fitToPage="1"/>
  </sheetPr>
  <dimension ref="B1:H63"/>
  <sheetViews>
    <sheetView showGridLines="0" zoomScale="90" zoomScaleNormal="90" zoomScaleSheetLayoutView="118" workbookViewId="0">
      <selection activeCell="E37" sqref="E37"/>
    </sheetView>
  </sheetViews>
  <sheetFormatPr defaultColWidth="11.42578125" defaultRowHeight="14.45"/>
  <cols>
    <col min="2" max="2" width="46.85546875" customWidth="1"/>
    <col min="3" max="3" width="21.140625" customWidth="1"/>
    <col min="4" max="4" width="20.5703125" customWidth="1"/>
    <col min="5" max="5" width="18.7109375" customWidth="1"/>
    <col min="6" max="6" width="4.140625" customWidth="1"/>
    <col min="7" max="8" width="15.5703125" customWidth="1"/>
    <col min="9" max="9" width="4.140625" customWidth="1"/>
    <col min="10" max="11" width="16.28515625" customWidth="1"/>
    <col min="12" max="12" width="4.140625" customWidth="1"/>
    <col min="13" max="14" width="20.85546875" customWidth="1"/>
    <col min="15" max="15" width="10" bestFit="1" customWidth="1"/>
    <col min="16" max="16" width="11.5703125" bestFit="1" customWidth="1"/>
    <col min="17" max="17" width="9.140625" customWidth="1"/>
  </cols>
  <sheetData>
    <row r="1" spans="2:3" ht="27.75" customHeight="1">
      <c r="B1" s="298" t="s">
        <v>94</v>
      </c>
      <c r="C1" s="299"/>
    </row>
    <row r="2" spans="2:3">
      <c r="B2" s="131" t="s">
        <v>95</v>
      </c>
      <c r="C2" s="132">
        <v>0.625</v>
      </c>
    </row>
    <row r="3" spans="2:3">
      <c r="B3" s="133" t="s">
        <v>96</v>
      </c>
      <c r="C3" s="134">
        <v>195</v>
      </c>
    </row>
    <row r="4" spans="2:3">
      <c r="B4" s="133" t="s">
        <v>97</v>
      </c>
      <c r="C4" s="134">
        <v>20</v>
      </c>
    </row>
    <row r="5" spans="2:3">
      <c r="B5" s="131" t="s">
        <v>98</v>
      </c>
      <c r="C5" s="135">
        <v>0.02</v>
      </c>
    </row>
    <row r="6" spans="2:3">
      <c r="B6" s="136"/>
      <c r="C6" s="137"/>
    </row>
    <row r="7" spans="2:3">
      <c r="B7" s="138" t="s">
        <v>99</v>
      </c>
      <c r="C7" s="139">
        <v>0.06</v>
      </c>
    </row>
    <row r="8" spans="2:3">
      <c r="C8" s="130"/>
    </row>
    <row r="9" spans="2:3">
      <c r="C9" s="130"/>
    </row>
    <row r="10" spans="2:3" ht="30.75" customHeight="1">
      <c r="B10" s="298" t="s">
        <v>100</v>
      </c>
      <c r="C10" s="299"/>
    </row>
    <row r="11" spans="2:3">
      <c r="B11" s="141" t="s">
        <v>101</v>
      </c>
      <c r="C11" s="142" t="s">
        <v>102</v>
      </c>
    </row>
    <row r="12" spans="2:3" ht="49.5" customHeight="1">
      <c r="B12" s="143" t="s">
        <v>103</v>
      </c>
      <c r="C12" s="144" t="s">
        <v>104</v>
      </c>
    </row>
    <row r="13" spans="2:3" ht="21" customHeight="1">
      <c r="B13" s="116"/>
      <c r="C13" s="140"/>
    </row>
    <row r="14" spans="2:3" ht="29.25" customHeight="1">
      <c r="B14" s="298" t="s">
        <v>105</v>
      </c>
      <c r="C14" s="299"/>
    </row>
    <row r="15" spans="2:3" ht="38.25" customHeight="1">
      <c r="B15" s="145" t="s">
        <v>106</v>
      </c>
      <c r="C15" s="146" t="s">
        <v>107</v>
      </c>
    </row>
    <row r="16" spans="2:3">
      <c r="B16" s="147" t="s">
        <v>44</v>
      </c>
      <c r="C16" s="146" t="s">
        <v>108</v>
      </c>
    </row>
    <row r="17" spans="2:5">
      <c r="B17" s="147" t="s">
        <v>45</v>
      </c>
      <c r="C17" s="146" t="s">
        <v>108</v>
      </c>
    </row>
    <row r="18" spans="2:5">
      <c r="B18" s="148" t="s">
        <v>46</v>
      </c>
      <c r="C18" s="149" t="s">
        <v>108</v>
      </c>
    </row>
    <row r="19" spans="2:5" ht="25.5" customHeight="1">
      <c r="B19" s="116"/>
      <c r="C19" s="175"/>
    </row>
    <row r="20" spans="2:5" ht="32.25" customHeight="1">
      <c r="B20" s="298" t="s">
        <v>109</v>
      </c>
      <c r="C20" s="299"/>
    </row>
    <row r="21" spans="2:5">
      <c r="B21" s="150" t="s">
        <v>110</v>
      </c>
      <c r="C21" s="151">
        <v>18</v>
      </c>
    </row>
    <row r="22" spans="2:5">
      <c r="B22" s="152" t="s">
        <v>111</v>
      </c>
      <c r="C22" s="153">
        <v>12</v>
      </c>
    </row>
    <row r="23" spans="2:5">
      <c r="B23" s="154"/>
      <c r="C23" s="155"/>
    </row>
    <row r="24" spans="2:5">
      <c r="B24" s="156" t="s">
        <v>112</v>
      </c>
      <c r="C24" s="151">
        <v>1</v>
      </c>
    </row>
    <row r="25" spans="2:5">
      <c r="B25" s="157" t="s">
        <v>113</v>
      </c>
      <c r="C25" s="153">
        <v>1</v>
      </c>
    </row>
    <row r="26" spans="2:5">
      <c r="B26" s="154"/>
      <c r="C26" s="158"/>
    </row>
    <row r="27" spans="2:5">
      <c r="B27" s="136"/>
      <c r="C27" s="158"/>
    </row>
    <row r="28" spans="2:5" ht="15" customHeight="1">
      <c r="B28" s="176" t="s">
        <v>114</v>
      </c>
      <c r="C28" s="160">
        <v>0.8</v>
      </c>
      <c r="D28" s="32"/>
    </row>
    <row r="29" spans="2:5">
      <c r="B29" s="157" t="s">
        <v>115</v>
      </c>
      <c r="C29" s="161">
        <v>0.75</v>
      </c>
      <c r="D29" s="32"/>
    </row>
    <row r="30" spans="2:5">
      <c r="B30" s="162"/>
      <c r="C30" s="163"/>
      <c r="E30" s="3"/>
    </row>
    <row r="31" spans="2:5">
      <c r="B31" s="164" t="s">
        <v>116</v>
      </c>
      <c r="C31" s="165" t="s">
        <v>117</v>
      </c>
    </row>
    <row r="32" spans="2:5">
      <c r="B32" s="166" t="s">
        <v>118</v>
      </c>
      <c r="C32" s="167">
        <v>650</v>
      </c>
    </row>
    <row r="33" spans="2:5">
      <c r="B33" s="136"/>
      <c r="C33" s="168"/>
    </row>
    <row r="34" spans="2:5">
      <c r="B34" s="159" t="s">
        <v>119</v>
      </c>
      <c r="C34" s="169">
        <v>1.5</v>
      </c>
    </row>
    <row r="35" spans="2:5">
      <c r="B35" s="131" t="s">
        <v>120</v>
      </c>
      <c r="C35" s="170">
        <v>1.5</v>
      </c>
    </row>
    <row r="36" spans="2:5">
      <c r="B36" s="171" t="s">
        <v>121</v>
      </c>
      <c r="C36" s="172">
        <v>0.5</v>
      </c>
    </row>
    <row r="37" spans="2:5" ht="28.5" customHeight="1">
      <c r="B37" s="3"/>
      <c r="C37" s="173"/>
    </row>
    <row r="38" spans="2:5" ht="30.75" customHeight="1">
      <c r="B38" s="298" t="s">
        <v>122</v>
      </c>
      <c r="C38" s="299"/>
    </row>
    <row r="39" spans="2:5">
      <c r="B39" s="131" t="s">
        <v>123</v>
      </c>
      <c r="C39" s="146">
        <v>24</v>
      </c>
    </row>
    <row r="40" spans="2:5">
      <c r="B40" s="131" t="s">
        <v>124</v>
      </c>
      <c r="C40" s="146">
        <v>6</v>
      </c>
    </row>
    <row r="41" spans="2:5">
      <c r="B41" s="131" t="s">
        <v>125</v>
      </c>
      <c r="C41" s="146">
        <v>6</v>
      </c>
    </row>
    <row r="42" spans="2:5">
      <c r="B42" s="131" t="s">
        <v>126</v>
      </c>
      <c r="C42" s="146">
        <v>6</v>
      </c>
    </row>
    <row r="43" spans="2:5">
      <c r="B43" s="131" t="s">
        <v>127</v>
      </c>
      <c r="C43" s="146">
        <v>64</v>
      </c>
    </row>
    <row r="44" spans="2:5">
      <c r="B44" s="131" t="s">
        <v>128</v>
      </c>
      <c r="C44" s="146">
        <v>6</v>
      </c>
    </row>
    <row r="45" spans="2:5">
      <c r="B45" s="131" t="s">
        <v>129</v>
      </c>
      <c r="C45" s="146">
        <v>24</v>
      </c>
      <c r="E45" t="s">
        <v>60</v>
      </c>
    </row>
    <row r="46" spans="2:5">
      <c r="B46" s="171" t="s">
        <v>130</v>
      </c>
      <c r="C46" s="149">
        <v>6</v>
      </c>
    </row>
    <row r="47" spans="2:5">
      <c r="B47" s="3"/>
      <c r="C47" s="38"/>
    </row>
    <row r="48" spans="2:5" ht="29.1">
      <c r="B48" s="184" t="s">
        <v>131</v>
      </c>
      <c r="C48" s="174">
        <v>45</v>
      </c>
    </row>
    <row r="49" spans="2:8">
      <c r="B49" s="3"/>
      <c r="C49" s="38"/>
    </row>
    <row r="51" spans="2:8">
      <c r="B51" s="3"/>
      <c r="C51" s="38"/>
    </row>
    <row r="52" spans="2:8" ht="30.75" customHeight="1"/>
    <row r="57" spans="2:8">
      <c r="B57" s="3"/>
      <c r="C57" s="38"/>
    </row>
    <row r="58" spans="2:8">
      <c r="B58" s="3"/>
      <c r="C58" s="38"/>
    </row>
    <row r="62" spans="2:8">
      <c r="H62" s="31"/>
    </row>
    <row r="63" spans="2:8">
      <c r="H63" s="35"/>
    </row>
  </sheetData>
  <mergeCells count="5">
    <mergeCell ref="B1:C1"/>
    <mergeCell ref="B10:C10"/>
    <mergeCell ref="B38:C38"/>
    <mergeCell ref="B14:C14"/>
    <mergeCell ref="B20:C20"/>
  </mergeCells>
  <hyperlinks>
    <hyperlink ref="B32" location="'help desk'!A35" display="crewing cost per operating day" xr:uid="{BB058382-B0B5-4B2A-ADB0-567A6826749A}"/>
    <hyperlink ref="B3" location="'help desk'!A2" display="Gasoil consumption per operating hour &amp; in liters" xr:uid="{4F19D015-3BF2-4D08-9E0A-CE6AC8B417CA}"/>
    <hyperlink ref="B4" location="'help desk'!A15" display="Gasoil consumption per standing hour &amp; in liters" xr:uid="{2C9DF906-BE4E-4F1B-8C86-E886469D68B9}"/>
    <hyperlink ref="B31" location="'help desk'!B41" display="Sailing regime - modus of operation (A1, A2 or B)" xr:uid="{1BDC8018-3B05-4919-A663-7C28902A8561}"/>
    <hyperlink ref="B48" location="'help desk'!A90" display="Terminal handling charges in POL and POD in € / TEU / port" xr:uid="{49BA7B6B-AAA6-4CC0-9AFD-998E6015817D}"/>
  </hyperlinks>
  <printOptions horizontalCentered="1" verticalCentered="1"/>
  <pageMargins left="0.7" right="0.7" top="0.75" bottom="0.75" header="0.3" footer="0.3"/>
  <pageSetup paperSize="9" orientation="portrait" verticalDpi="0"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91740DB9-D0F5-4499-B99E-CA4A297985E2}">
          <x14:formula1>
            <xm:f>drop_down_lists!$A$2:$A$86</xm:f>
          </x14:formula1>
          <xm:sqref>C11:C13</xm:sqref>
        </x14:dataValidation>
        <x14:dataValidation type="list" allowBlank="1" showInputMessage="1" showErrorMessage="1" xr:uid="{0D4EBD9C-ADAA-4BDF-A3F9-4BF941E2A08F}">
          <x14:formula1>
            <xm:f>drop_down_lists!$E$2:$E$4</xm:f>
          </x14:formula1>
          <xm:sqref>K31 C31</xm:sqref>
        </x14:dataValidation>
        <x14:dataValidation type="list" allowBlank="1" showInputMessage="1" showErrorMessage="1" xr:uid="{E6240BF1-2F48-4264-B57B-ED306C7F8BA1}">
          <x14:formula1>
            <xm:f>drop_down_lists!$F$2:$F$3</xm:f>
          </x14:formula1>
          <xm:sqref>C15</xm:sqref>
        </x14:dataValidation>
        <x14:dataValidation type="list" allowBlank="1" showInputMessage="1" showErrorMessage="1" xr:uid="{CA9B94C8-5D93-471E-AD78-9C977E7F5E63}">
          <x14:formula1>
            <xm:f>drop_down_lists!$H$2:$H$3</xm:f>
          </x14:formula1>
          <xm:sqref>C16 C19</xm:sqref>
        </x14:dataValidation>
        <x14:dataValidation type="list" allowBlank="1" showInputMessage="1" showErrorMessage="1" xr:uid="{79C3AD28-6E6F-499D-A1CC-0E464B2148BE}">
          <x14:formula1>
            <xm:f>drop_down_lists!$H$2:$H$4</xm:f>
          </x14:formula1>
          <xm:sqref>C17:C18</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928FE-DB48-42EC-B2DC-772B7DEEA5FA}">
  <sheetPr>
    <tabColor rgb="FFFF0000"/>
  </sheetPr>
  <dimension ref="A1:Z93"/>
  <sheetViews>
    <sheetView zoomScale="80" zoomScaleNormal="80" workbookViewId="0">
      <selection activeCell="G23" sqref="G23"/>
    </sheetView>
  </sheetViews>
  <sheetFormatPr defaultColWidth="11.42578125" defaultRowHeight="14.45"/>
  <cols>
    <col min="1" max="1" width="19" bestFit="1" customWidth="1"/>
    <col min="2" max="2" width="14.28515625" customWidth="1"/>
    <col min="3" max="3" width="13.7109375" customWidth="1"/>
    <col min="4" max="4" width="15.85546875" customWidth="1"/>
    <col min="5" max="5" width="25.5703125" customWidth="1"/>
  </cols>
  <sheetData>
    <row r="1" spans="1:5">
      <c r="A1" s="33" t="s">
        <v>132</v>
      </c>
      <c r="B1" s="12"/>
      <c r="C1" s="12"/>
      <c r="D1" s="12"/>
      <c r="E1" s="12"/>
    </row>
    <row r="2" spans="1:5" ht="29.1">
      <c r="A2" s="300" t="s">
        <v>133</v>
      </c>
      <c r="B2" s="293" t="s">
        <v>134</v>
      </c>
      <c r="C2" s="293"/>
      <c r="D2" s="11" t="s">
        <v>135</v>
      </c>
      <c r="E2" s="3" t="s">
        <v>136</v>
      </c>
    </row>
    <row r="3" spans="1:5">
      <c r="A3" s="300"/>
      <c r="B3" s="301">
        <v>1500</v>
      </c>
      <c r="C3" s="301"/>
      <c r="D3" s="29">
        <v>200</v>
      </c>
      <c r="E3" s="45">
        <v>0.62</v>
      </c>
    </row>
    <row r="4" spans="1:5" ht="43.5">
      <c r="A4" s="300"/>
      <c r="B4" s="293" t="s">
        <v>137</v>
      </c>
      <c r="C4" s="293"/>
      <c r="E4" s="3" t="s">
        <v>138</v>
      </c>
    </row>
    <row r="5" spans="1:5">
      <c r="A5" s="300"/>
      <c r="B5" s="302">
        <f>B3*1.36</f>
        <v>2040.0000000000002</v>
      </c>
      <c r="C5" s="302"/>
      <c r="E5" s="40">
        <f>D3/1000*1.1834*B3*E3</f>
        <v>220.11239999999998</v>
      </c>
    </row>
    <row r="6" spans="1:5">
      <c r="B6" s="1"/>
      <c r="C6" s="1"/>
      <c r="E6" s="39"/>
    </row>
    <row r="7" spans="1:5">
      <c r="B7" s="1"/>
      <c r="C7" s="1"/>
      <c r="E7" s="39"/>
    </row>
    <row r="8" spans="1:5" ht="43.5">
      <c r="A8" s="300" t="s">
        <v>139</v>
      </c>
      <c r="B8" s="293" t="s">
        <v>140</v>
      </c>
      <c r="C8" s="293"/>
      <c r="D8" s="11" t="s">
        <v>135</v>
      </c>
      <c r="E8" s="3" t="s">
        <v>141</v>
      </c>
    </row>
    <row r="9" spans="1:5">
      <c r="A9" s="300"/>
      <c r="B9" s="301">
        <v>335</v>
      </c>
      <c r="C9" s="301"/>
      <c r="D9" s="29">
        <v>190</v>
      </c>
      <c r="E9" s="4">
        <v>0.15</v>
      </c>
    </row>
    <row r="10" spans="1:5" ht="29.1">
      <c r="A10" s="300"/>
      <c r="B10" s="293" t="s">
        <v>137</v>
      </c>
      <c r="C10" s="293"/>
      <c r="E10" s="5" t="s">
        <v>142</v>
      </c>
    </row>
    <row r="11" spans="1:5">
      <c r="A11" s="300"/>
      <c r="B11" s="302">
        <f>B9*1.36</f>
        <v>455.6</v>
      </c>
      <c r="C11" s="302"/>
      <c r="E11" s="4">
        <v>0.6</v>
      </c>
    </row>
    <row r="12" spans="1:5">
      <c r="A12" s="41"/>
      <c r="B12" s="302"/>
      <c r="C12" s="302"/>
      <c r="E12" s="40">
        <f>D9/1000*1.1834*B9*E11</f>
        <v>45.194045999999993</v>
      </c>
    </row>
    <row r="13" spans="1:5">
      <c r="B13" s="1"/>
      <c r="C13" s="1"/>
      <c r="E13" s="39"/>
    </row>
    <row r="14" spans="1:5">
      <c r="B14" s="1"/>
      <c r="C14" s="1"/>
      <c r="E14" s="39"/>
    </row>
    <row r="15" spans="1:5" ht="29.1">
      <c r="A15" s="300" t="s">
        <v>143</v>
      </c>
      <c r="B15" s="293" t="s">
        <v>144</v>
      </c>
      <c r="C15" s="293"/>
      <c r="D15" s="11" t="s">
        <v>135</v>
      </c>
      <c r="E15" s="3" t="s">
        <v>145</v>
      </c>
    </row>
    <row r="16" spans="1:5">
      <c r="A16" s="300"/>
      <c r="B16" s="301">
        <v>150</v>
      </c>
      <c r="C16" s="301"/>
      <c r="D16" s="29">
        <v>180</v>
      </c>
      <c r="E16" s="4">
        <v>0.55000000000000004</v>
      </c>
    </row>
    <row r="17" spans="1:5" ht="43.5">
      <c r="A17" s="300"/>
      <c r="B17" s="293" t="s">
        <v>137</v>
      </c>
      <c r="C17" s="293"/>
      <c r="E17" s="3" t="s">
        <v>146</v>
      </c>
    </row>
    <row r="18" spans="1:5">
      <c r="A18" s="300"/>
      <c r="B18" s="302">
        <f>B16*1.36</f>
        <v>204.00000000000003</v>
      </c>
      <c r="C18" s="302"/>
      <c r="E18" s="40">
        <f>D16/1000*1.1834*B16*E16</f>
        <v>17.573490000000003</v>
      </c>
    </row>
    <row r="23" spans="1:5">
      <c r="A23" s="33" t="s">
        <v>147</v>
      </c>
      <c r="B23" s="12"/>
      <c r="C23" s="12"/>
      <c r="D23" s="12"/>
      <c r="E23" s="12"/>
    </row>
    <row r="24" spans="1:5" ht="29.1">
      <c r="B24" s="30" t="s">
        <v>148</v>
      </c>
      <c r="C24" s="30" t="s">
        <v>149</v>
      </c>
    </row>
    <row r="25" spans="1:5">
      <c r="B25" s="1">
        <v>150</v>
      </c>
      <c r="C25" s="29">
        <v>945</v>
      </c>
    </row>
    <row r="26" spans="1:5">
      <c r="B26" s="1">
        <v>160</v>
      </c>
      <c r="C26" s="29">
        <v>1041</v>
      </c>
    </row>
    <row r="27" spans="1:5">
      <c r="B27" s="1">
        <v>170</v>
      </c>
      <c r="C27" s="29">
        <v>1137</v>
      </c>
    </row>
    <row r="28" spans="1:5">
      <c r="B28" s="1">
        <v>180</v>
      </c>
      <c r="C28" s="29">
        <v>1233</v>
      </c>
    </row>
    <row r="29" spans="1:5">
      <c r="B29" s="1">
        <v>190</v>
      </c>
      <c r="C29" s="29">
        <v>1329</v>
      </c>
    </row>
    <row r="30" spans="1:5">
      <c r="B30" s="1">
        <v>200</v>
      </c>
      <c r="C30" s="29">
        <v>1426</v>
      </c>
    </row>
    <row r="31" spans="1:5">
      <c r="B31" s="1">
        <v>210</v>
      </c>
      <c r="C31" s="29">
        <v>1523</v>
      </c>
    </row>
    <row r="32" spans="1:5">
      <c r="B32" s="1">
        <v>220</v>
      </c>
      <c r="C32" s="29">
        <v>1620</v>
      </c>
    </row>
    <row r="33" spans="1:24">
      <c r="B33" s="1">
        <v>230</v>
      </c>
      <c r="C33" s="29">
        <v>1717</v>
      </c>
    </row>
    <row r="34" spans="1:24">
      <c r="B34" s="1">
        <v>240</v>
      </c>
      <c r="C34" s="29">
        <v>1815</v>
      </c>
    </row>
    <row r="35" spans="1:24">
      <c r="B35" s="1">
        <v>250</v>
      </c>
      <c r="C35" s="29">
        <v>1914</v>
      </c>
    </row>
    <row r="36" spans="1:24">
      <c r="B36" s="1">
        <v>260</v>
      </c>
      <c r="C36" s="29">
        <v>2011</v>
      </c>
    </row>
    <row r="37" spans="1:24">
      <c r="B37" s="1">
        <v>270</v>
      </c>
      <c r="C37" s="29">
        <v>2109</v>
      </c>
    </row>
    <row r="40" spans="1:24">
      <c r="A40" s="33" t="s">
        <v>150</v>
      </c>
      <c r="B40" s="12"/>
      <c r="C40" s="12"/>
      <c r="D40" s="12"/>
      <c r="E40" s="12"/>
    </row>
    <row r="41" spans="1:24" s="8" customFormat="1" ht="20.45">
      <c r="A41" s="6" t="s">
        <v>151</v>
      </c>
      <c r="B41" s="303" t="s">
        <v>152</v>
      </c>
      <c r="C41" s="303"/>
      <c r="D41" s="303"/>
      <c r="E41" s="303"/>
      <c r="F41" s="303"/>
      <c r="G41" s="303"/>
      <c r="H41" s="303"/>
      <c r="I41" s="7"/>
      <c r="J41" s="303" t="s">
        <v>153</v>
      </c>
      <c r="K41" s="303"/>
      <c r="L41" s="303"/>
      <c r="M41" s="303"/>
      <c r="N41" s="303"/>
      <c r="O41" s="303"/>
      <c r="P41" s="303"/>
      <c r="Q41" s="6"/>
      <c r="R41" s="303" t="s">
        <v>154</v>
      </c>
      <c r="S41" s="303"/>
      <c r="T41" s="303"/>
      <c r="U41" s="303"/>
      <c r="V41" s="303"/>
      <c r="W41" s="303"/>
      <c r="X41" s="303"/>
    </row>
    <row r="42" spans="1:24" s="8" customFormat="1" ht="20.25" customHeight="1">
      <c r="B42" s="304" t="s">
        <v>155</v>
      </c>
      <c r="C42" s="305"/>
      <c r="D42" s="305"/>
      <c r="E42" s="305"/>
      <c r="F42" s="305"/>
      <c r="G42" s="305"/>
      <c r="H42" s="305"/>
      <c r="J42" s="306" t="s">
        <v>155</v>
      </c>
      <c r="K42" s="306"/>
      <c r="L42" s="306"/>
      <c r="M42" s="306"/>
      <c r="N42" s="306"/>
      <c r="O42" s="306"/>
      <c r="P42" s="306"/>
      <c r="R42" s="306" t="s">
        <v>155</v>
      </c>
      <c r="S42" s="306"/>
      <c r="T42" s="306"/>
      <c r="U42" s="306"/>
      <c r="V42" s="306"/>
      <c r="W42" s="306"/>
      <c r="X42" s="306"/>
    </row>
    <row r="43" spans="1:24" s="8" customFormat="1">
      <c r="B43" s="182" t="s">
        <v>156</v>
      </c>
      <c r="C43" s="311" t="s">
        <v>157</v>
      </c>
      <c r="D43" s="311"/>
      <c r="E43" s="311" t="s">
        <v>158</v>
      </c>
      <c r="F43" s="311"/>
      <c r="G43" s="311" t="s">
        <v>159</v>
      </c>
      <c r="H43" s="311"/>
      <c r="J43" s="182" t="s">
        <v>160</v>
      </c>
      <c r="K43" s="312" t="s">
        <v>157</v>
      </c>
      <c r="L43" s="312"/>
      <c r="M43" s="312" t="s">
        <v>158</v>
      </c>
      <c r="N43" s="312"/>
      <c r="O43" s="312" t="s">
        <v>159</v>
      </c>
      <c r="P43" s="312"/>
      <c r="R43" s="182" t="s">
        <v>161</v>
      </c>
      <c r="S43" s="307" t="s">
        <v>157</v>
      </c>
      <c r="T43" s="307"/>
      <c r="U43" s="307" t="s">
        <v>158</v>
      </c>
      <c r="V43" s="307"/>
      <c r="W43" s="307" t="s">
        <v>159</v>
      </c>
      <c r="X43" s="307"/>
    </row>
    <row r="44" spans="1:24" s="8" customFormat="1" ht="12.6">
      <c r="B44" s="34" t="s">
        <v>162</v>
      </c>
      <c r="C44" s="308">
        <v>405.1542</v>
      </c>
      <c r="D44" s="308"/>
      <c r="E44" s="308">
        <v>313.5</v>
      </c>
      <c r="F44" s="308"/>
      <c r="G44" s="308">
        <v>249.7</v>
      </c>
      <c r="H44" s="308"/>
      <c r="J44" s="36" t="s">
        <v>162</v>
      </c>
      <c r="K44" s="309">
        <v>660.6336</v>
      </c>
      <c r="L44" s="309"/>
      <c r="M44" s="309">
        <v>511.5</v>
      </c>
      <c r="N44" s="309"/>
      <c r="O44" s="309">
        <v>387.2</v>
      </c>
      <c r="P44" s="309"/>
      <c r="R44" s="37" t="s">
        <v>162</v>
      </c>
      <c r="S44" s="310">
        <v>769.01879999999994</v>
      </c>
      <c r="T44" s="310"/>
      <c r="U44" s="310">
        <v>616</v>
      </c>
      <c r="V44" s="310"/>
      <c r="W44" s="310">
        <v>488.4</v>
      </c>
      <c r="X44" s="310"/>
    </row>
    <row r="45" spans="1:24" s="8" customFormat="1" ht="12.6">
      <c r="B45" s="34" t="s">
        <v>163</v>
      </c>
      <c r="C45" s="314">
        <v>12154.626</v>
      </c>
      <c r="D45" s="314"/>
      <c r="E45" s="314">
        <v>9405</v>
      </c>
      <c r="F45" s="314"/>
      <c r="G45" s="314">
        <v>7491</v>
      </c>
      <c r="H45" s="314"/>
      <c r="J45" s="36" t="s">
        <v>163</v>
      </c>
      <c r="K45" s="315">
        <v>19819.008000000002</v>
      </c>
      <c r="L45" s="315"/>
      <c r="M45" s="315">
        <v>15345</v>
      </c>
      <c r="N45" s="315"/>
      <c r="O45" s="315">
        <v>11616</v>
      </c>
      <c r="P45" s="315"/>
      <c r="R45" s="37" t="s">
        <v>163</v>
      </c>
      <c r="S45" s="313">
        <v>23070.563999999998</v>
      </c>
      <c r="T45" s="313"/>
      <c r="U45" s="313">
        <v>18480</v>
      </c>
      <c r="V45" s="313"/>
      <c r="W45" s="313">
        <v>14652</v>
      </c>
      <c r="X45" s="313"/>
    </row>
    <row r="46" spans="1:24" s="8" customFormat="1" ht="12.6"/>
    <row r="47" spans="1:24" s="8" customFormat="1" ht="12.6"/>
    <row r="48" spans="1:24" s="8" customFormat="1" ht="20.45">
      <c r="A48" s="6" t="s">
        <v>151</v>
      </c>
      <c r="B48" s="303" t="s">
        <v>152</v>
      </c>
      <c r="C48" s="303"/>
      <c r="D48" s="303"/>
      <c r="E48" s="303"/>
      <c r="F48" s="303"/>
      <c r="G48" s="303"/>
      <c r="H48" s="303"/>
      <c r="I48" s="7"/>
      <c r="J48" s="303" t="s">
        <v>153</v>
      </c>
      <c r="K48" s="303"/>
      <c r="L48" s="303"/>
      <c r="M48" s="303"/>
      <c r="N48" s="303"/>
      <c r="O48" s="303"/>
      <c r="P48" s="303"/>
      <c r="Q48" s="6"/>
      <c r="R48" s="303" t="s">
        <v>154</v>
      </c>
      <c r="S48" s="303"/>
      <c r="T48" s="303"/>
      <c r="U48" s="303"/>
      <c r="V48" s="303"/>
      <c r="W48" s="303"/>
      <c r="X48" s="303"/>
    </row>
    <row r="49" spans="1:26" s="10" customFormat="1" ht="21" customHeight="1">
      <c r="B49" s="304" t="s">
        <v>164</v>
      </c>
      <c r="C49" s="305"/>
      <c r="D49" s="305"/>
      <c r="E49" s="305"/>
      <c r="F49" s="305"/>
      <c r="G49" s="305"/>
      <c r="H49" s="305"/>
      <c r="J49" s="304" t="s">
        <v>164</v>
      </c>
      <c r="K49" s="304"/>
      <c r="L49" s="304"/>
      <c r="M49" s="304"/>
      <c r="N49" s="304"/>
      <c r="O49" s="304"/>
      <c r="P49" s="304"/>
      <c r="R49" s="304" t="s">
        <v>164</v>
      </c>
      <c r="S49" s="304"/>
      <c r="T49" s="304"/>
      <c r="U49" s="304"/>
      <c r="V49" s="304"/>
      <c r="W49" s="304"/>
      <c r="X49" s="304"/>
    </row>
    <row r="50" spans="1:26" s="8" customFormat="1">
      <c r="B50" s="182" t="s">
        <v>156</v>
      </c>
      <c r="C50" s="311" t="s">
        <v>157</v>
      </c>
      <c r="D50" s="311"/>
      <c r="E50" s="311" t="s">
        <v>158</v>
      </c>
      <c r="F50" s="311"/>
      <c r="G50" s="311" t="s">
        <v>159</v>
      </c>
      <c r="H50" s="311"/>
      <c r="J50" s="182" t="s">
        <v>160</v>
      </c>
      <c r="K50" s="312" t="s">
        <v>157</v>
      </c>
      <c r="L50" s="312"/>
      <c r="M50" s="312" t="s">
        <v>158</v>
      </c>
      <c r="N50" s="312"/>
      <c r="O50" s="312" t="s">
        <v>159</v>
      </c>
      <c r="P50" s="312"/>
      <c r="R50" s="182" t="s">
        <v>161</v>
      </c>
      <c r="S50" s="307" t="s">
        <v>157</v>
      </c>
      <c r="T50" s="307"/>
      <c r="U50" s="307" t="s">
        <v>158</v>
      </c>
      <c r="V50" s="307"/>
      <c r="W50" s="307" t="s">
        <v>159</v>
      </c>
      <c r="X50" s="307"/>
    </row>
    <row r="51" spans="1:26" s="8" customFormat="1" ht="12.6">
      <c r="B51" s="34" t="s">
        <v>162</v>
      </c>
      <c r="C51" s="308">
        <v>540.63569999999993</v>
      </c>
      <c r="D51" s="308"/>
      <c r="E51" s="308">
        <v>441.1</v>
      </c>
      <c r="F51" s="308"/>
      <c r="G51" s="308">
        <v>359.7</v>
      </c>
      <c r="H51" s="308"/>
      <c r="J51" s="36" t="s">
        <v>162</v>
      </c>
      <c r="K51" s="309">
        <v>769.01879999999994</v>
      </c>
      <c r="L51" s="309"/>
      <c r="M51" s="309">
        <v>616</v>
      </c>
      <c r="N51" s="309"/>
      <c r="O51" s="309">
        <v>488.4</v>
      </c>
      <c r="P51" s="309"/>
      <c r="R51" s="37" t="s">
        <v>162</v>
      </c>
      <c r="S51" s="310">
        <v>796.11509999999998</v>
      </c>
      <c r="T51" s="310"/>
      <c r="U51" s="310">
        <v>639.1</v>
      </c>
      <c r="V51" s="310"/>
      <c r="W51" s="310">
        <v>497.2</v>
      </c>
      <c r="X51" s="310"/>
    </row>
    <row r="52" spans="1:26" s="8" customFormat="1" ht="12.6">
      <c r="B52" s="34" t="s">
        <v>163</v>
      </c>
      <c r="C52" s="314">
        <v>16219.070999999998</v>
      </c>
      <c r="D52" s="314"/>
      <c r="E52" s="314">
        <v>13233</v>
      </c>
      <c r="F52" s="314"/>
      <c r="G52" s="314">
        <v>10791</v>
      </c>
      <c r="H52" s="314"/>
      <c r="J52" s="36" t="s">
        <v>163</v>
      </c>
      <c r="K52" s="315">
        <v>23070.563999999998</v>
      </c>
      <c r="L52" s="315"/>
      <c r="M52" s="315">
        <v>18480</v>
      </c>
      <c r="N52" s="315"/>
      <c r="O52" s="315">
        <v>14652</v>
      </c>
      <c r="P52" s="315"/>
      <c r="R52" s="37" t="s">
        <v>163</v>
      </c>
      <c r="S52" s="313">
        <v>23883.453000000001</v>
      </c>
      <c r="T52" s="313"/>
      <c r="U52" s="313">
        <v>19173</v>
      </c>
      <c r="V52" s="313"/>
      <c r="W52" s="313">
        <v>14916</v>
      </c>
      <c r="X52" s="313"/>
    </row>
    <row r="53" spans="1:26" s="8" customFormat="1" ht="12.6"/>
    <row r="54" spans="1:26" s="8" customFormat="1" ht="12.6"/>
    <row r="55" spans="1:26" s="8" customFormat="1" ht="20.45">
      <c r="A55" s="6" t="s">
        <v>151</v>
      </c>
      <c r="B55" s="303" t="s">
        <v>152</v>
      </c>
      <c r="C55" s="303"/>
      <c r="D55" s="303"/>
      <c r="E55" s="303"/>
      <c r="F55" s="303"/>
      <c r="G55" s="303"/>
      <c r="H55" s="303"/>
      <c r="I55" s="7"/>
      <c r="J55" s="303" t="s">
        <v>153</v>
      </c>
      <c r="K55" s="303"/>
      <c r="L55" s="303"/>
      <c r="M55" s="303"/>
      <c r="N55" s="303"/>
      <c r="O55" s="303"/>
      <c r="P55" s="303"/>
      <c r="Q55" s="6"/>
      <c r="R55" s="303" t="s">
        <v>154</v>
      </c>
      <c r="S55" s="303"/>
      <c r="T55" s="303"/>
      <c r="U55" s="303"/>
      <c r="V55" s="303"/>
      <c r="W55" s="303"/>
      <c r="X55" s="303"/>
      <c r="Y55" s="6"/>
      <c r="Z55" s="6"/>
    </row>
    <row r="56" spans="1:26" s="10" customFormat="1" ht="21" customHeight="1">
      <c r="B56" s="304" t="s">
        <v>165</v>
      </c>
      <c r="C56" s="304"/>
      <c r="D56" s="304"/>
      <c r="E56" s="304"/>
      <c r="F56" s="304"/>
      <c r="G56" s="304"/>
      <c r="H56" s="304"/>
      <c r="J56" s="304" t="s">
        <v>165</v>
      </c>
      <c r="K56" s="304"/>
      <c r="L56" s="304"/>
      <c r="M56" s="304"/>
      <c r="N56" s="304"/>
      <c r="O56" s="304"/>
      <c r="P56" s="304"/>
      <c r="R56" s="304" t="s">
        <v>166</v>
      </c>
      <c r="S56" s="304"/>
      <c r="T56" s="304"/>
      <c r="U56" s="304"/>
      <c r="V56" s="304"/>
      <c r="W56" s="304"/>
      <c r="X56" s="304"/>
    </row>
    <row r="57" spans="1:26" s="8" customFormat="1">
      <c r="B57" s="182" t="s">
        <v>156</v>
      </c>
      <c r="C57" s="311" t="s">
        <v>157</v>
      </c>
      <c r="D57" s="311"/>
      <c r="E57" s="311" t="s">
        <v>158</v>
      </c>
      <c r="F57" s="311"/>
      <c r="G57" s="311" t="s">
        <v>159</v>
      </c>
      <c r="H57" s="311"/>
      <c r="J57" s="182" t="s">
        <v>160</v>
      </c>
      <c r="K57" s="312" t="s">
        <v>157</v>
      </c>
      <c r="L57" s="312"/>
      <c r="M57" s="312" t="s">
        <v>158</v>
      </c>
      <c r="N57" s="312"/>
      <c r="O57" s="312" t="s">
        <v>159</v>
      </c>
      <c r="P57" s="312"/>
      <c r="R57" s="182" t="s">
        <v>161</v>
      </c>
      <c r="S57" s="307" t="s">
        <v>157</v>
      </c>
      <c r="T57" s="307"/>
      <c r="U57" s="307" t="s">
        <v>158</v>
      </c>
      <c r="V57" s="307"/>
      <c r="W57" s="307" t="s">
        <v>159</v>
      </c>
      <c r="X57" s="307"/>
    </row>
    <row r="58" spans="1:26" s="8" customFormat="1" ht="12.6">
      <c r="B58" s="34" t="s">
        <v>162</v>
      </c>
      <c r="C58" s="308">
        <v>649.02089999999998</v>
      </c>
      <c r="D58" s="308"/>
      <c r="E58" s="308">
        <v>545.6</v>
      </c>
      <c r="F58" s="308"/>
      <c r="G58" s="308">
        <v>460.9</v>
      </c>
      <c r="H58" s="308"/>
      <c r="J58" s="36" t="s">
        <v>162</v>
      </c>
      <c r="K58" s="309">
        <v>877.404</v>
      </c>
      <c r="L58" s="309"/>
      <c r="M58" s="309">
        <v>721.6</v>
      </c>
      <c r="N58" s="309"/>
      <c r="O58" s="309">
        <v>591.79999999999995</v>
      </c>
      <c r="P58" s="309"/>
      <c r="R58" s="37" t="s">
        <v>162</v>
      </c>
      <c r="S58" s="310">
        <v>1039.9818</v>
      </c>
      <c r="T58" s="310"/>
      <c r="U58" s="310">
        <v>871.2</v>
      </c>
      <c r="V58" s="310"/>
      <c r="W58" s="310">
        <v>708.4</v>
      </c>
      <c r="X58" s="310"/>
    </row>
    <row r="59" spans="1:26" s="8" customFormat="1" ht="12.6">
      <c r="B59" s="34" t="s">
        <v>163</v>
      </c>
      <c r="C59" s="314">
        <v>19470.627</v>
      </c>
      <c r="D59" s="314"/>
      <c r="E59" s="314">
        <v>16368</v>
      </c>
      <c r="F59" s="314"/>
      <c r="G59" s="314">
        <v>13827</v>
      </c>
      <c r="H59" s="314"/>
      <c r="J59" s="36" t="s">
        <v>163</v>
      </c>
      <c r="K59" s="315">
        <v>26322.12</v>
      </c>
      <c r="L59" s="315"/>
      <c r="M59" s="315">
        <v>21648</v>
      </c>
      <c r="N59" s="315"/>
      <c r="O59" s="315">
        <v>17754</v>
      </c>
      <c r="P59" s="315"/>
      <c r="R59" s="37" t="s">
        <v>163</v>
      </c>
      <c r="S59" s="313">
        <v>31199.454000000002</v>
      </c>
      <c r="T59" s="313"/>
      <c r="U59" s="313">
        <v>26136</v>
      </c>
      <c r="V59" s="313"/>
      <c r="W59" s="313">
        <v>21252</v>
      </c>
      <c r="X59" s="313"/>
    </row>
    <row r="60" spans="1:26" s="8" customFormat="1" ht="12.6"/>
    <row r="61" spans="1:26" s="8" customFormat="1" ht="12.6"/>
    <row r="62" spans="1:26" s="8" customFormat="1" ht="20.45">
      <c r="A62" s="6" t="s">
        <v>151</v>
      </c>
      <c r="B62" s="303" t="s">
        <v>152</v>
      </c>
      <c r="C62" s="303"/>
      <c r="D62" s="303"/>
      <c r="E62" s="303"/>
      <c r="F62" s="303"/>
      <c r="G62" s="303"/>
      <c r="H62" s="303"/>
      <c r="I62" s="7"/>
      <c r="J62" s="303" t="s">
        <v>153</v>
      </c>
      <c r="K62" s="303"/>
      <c r="L62" s="303"/>
      <c r="M62" s="303"/>
      <c r="N62" s="303"/>
      <c r="O62" s="303"/>
      <c r="P62" s="303"/>
      <c r="Q62" s="6"/>
      <c r="R62" s="303" t="s">
        <v>154</v>
      </c>
      <c r="S62" s="303"/>
      <c r="T62" s="303"/>
      <c r="U62" s="303"/>
      <c r="V62" s="303"/>
      <c r="W62" s="303"/>
      <c r="X62" s="303"/>
      <c r="Y62" s="6"/>
      <c r="Z62" s="6"/>
    </row>
    <row r="63" spans="1:26" s="10" customFormat="1" ht="21" customHeight="1">
      <c r="B63" s="304" t="s">
        <v>167</v>
      </c>
      <c r="C63" s="304"/>
      <c r="D63" s="304"/>
      <c r="E63" s="304"/>
      <c r="F63" s="304"/>
      <c r="G63" s="304"/>
      <c r="H63" s="304"/>
      <c r="J63" s="304" t="s">
        <v>167</v>
      </c>
      <c r="K63" s="304"/>
      <c r="L63" s="304"/>
      <c r="M63" s="304"/>
      <c r="N63" s="304"/>
      <c r="O63" s="304"/>
      <c r="P63" s="304"/>
      <c r="R63" s="304" t="s">
        <v>167</v>
      </c>
      <c r="S63" s="304"/>
      <c r="T63" s="304"/>
      <c r="U63" s="304"/>
      <c r="V63" s="304"/>
      <c r="W63" s="304"/>
      <c r="X63" s="304"/>
    </row>
    <row r="64" spans="1:26" s="8" customFormat="1">
      <c r="B64" s="182" t="s">
        <v>156</v>
      </c>
      <c r="C64" s="311" t="s">
        <v>157</v>
      </c>
      <c r="D64" s="311"/>
      <c r="E64" s="311" t="s">
        <v>158</v>
      </c>
      <c r="F64" s="311"/>
      <c r="G64" s="311" t="s">
        <v>159</v>
      </c>
      <c r="H64" s="311"/>
      <c r="J64" s="182" t="s">
        <v>160</v>
      </c>
      <c r="K64" s="312" t="s">
        <v>157</v>
      </c>
      <c r="L64" s="312"/>
      <c r="M64" s="312" t="s">
        <v>158</v>
      </c>
      <c r="N64" s="312"/>
      <c r="O64" s="312" t="s">
        <v>159</v>
      </c>
      <c r="P64" s="312"/>
      <c r="R64" s="182" t="s">
        <v>161</v>
      </c>
      <c r="S64" s="307" t="s">
        <v>157</v>
      </c>
      <c r="T64" s="307"/>
      <c r="U64" s="307" t="s">
        <v>158</v>
      </c>
      <c r="V64" s="307"/>
      <c r="W64" s="307" t="s">
        <v>159</v>
      </c>
      <c r="X64" s="307"/>
    </row>
    <row r="65" spans="1:26" s="8" customFormat="1" ht="12.6">
      <c r="B65" s="34" t="s">
        <v>162</v>
      </c>
      <c r="C65" s="308">
        <v>784.50239999999997</v>
      </c>
      <c r="D65" s="308"/>
      <c r="E65" s="308">
        <v>673.2</v>
      </c>
      <c r="F65" s="308"/>
      <c r="G65" s="308">
        <v>570.9</v>
      </c>
      <c r="H65" s="308"/>
      <c r="J65" s="36" t="s">
        <v>162</v>
      </c>
      <c r="K65" s="309">
        <v>1012.8855000000001</v>
      </c>
      <c r="L65" s="309"/>
      <c r="M65" s="309">
        <v>848.1</v>
      </c>
      <c r="N65" s="309"/>
      <c r="O65" s="309">
        <v>699.6</v>
      </c>
      <c r="P65" s="309"/>
      <c r="R65" s="37" t="s">
        <v>162</v>
      </c>
      <c r="S65" s="310">
        <v>1148.367</v>
      </c>
      <c r="T65" s="310"/>
      <c r="U65" s="310">
        <v>975.7</v>
      </c>
      <c r="V65" s="310"/>
      <c r="W65" s="310">
        <v>809.6</v>
      </c>
      <c r="X65" s="310"/>
    </row>
    <row r="66" spans="1:26" s="8" customFormat="1" ht="12.6">
      <c r="B66" s="34" t="s">
        <v>163</v>
      </c>
      <c r="C66" s="314">
        <v>23535.072</v>
      </c>
      <c r="D66" s="314"/>
      <c r="E66" s="314">
        <v>20196</v>
      </c>
      <c r="F66" s="314"/>
      <c r="G66" s="314">
        <v>17127</v>
      </c>
      <c r="H66" s="314"/>
      <c r="J66" s="36" t="s">
        <v>163</v>
      </c>
      <c r="K66" s="315">
        <v>30386.565000000002</v>
      </c>
      <c r="L66" s="315"/>
      <c r="M66" s="315">
        <v>25443</v>
      </c>
      <c r="N66" s="315"/>
      <c r="O66" s="315">
        <v>20988</v>
      </c>
      <c r="P66" s="315"/>
      <c r="R66" s="37" t="s">
        <v>163</v>
      </c>
      <c r="S66" s="313">
        <v>34451.01</v>
      </c>
      <c r="T66" s="313"/>
      <c r="U66" s="313">
        <v>29271</v>
      </c>
      <c r="V66" s="313"/>
      <c r="W66" s="313">
        <v>24288</v>
      </c>
      <c r="X66" s="313"/>
    </row>
    <row r="67" spans="1:26" s="8" customFormat="1" ht="12.6"/>
    <row r="68" spans="1:26" s="8" customFormat="1" ht="12.6"/>
    <row r="69" spans="1:26" s="8" customFormat="1" ht="20.25" customHeight="1">
      <c r="A69" s="6" t="s">
        <v>151</v>
      </c>
      <c r="B69" s="303" t="s">
        <v>152</v>
      </c>
      <c r="C69" s="303"/>
      <c r="D69" s="303"/>
      <c r="E69" s="303"/>
      <c r="F69" s="303"/>
      <c r="G69" s="303"/>
      <c r="H69" s="303"/>
      <c r="I69" s="7"/>
      <c r="J69" s="303" t="s">
        <v>153</v>
      </c>
      <c r="K69" s="303"/>
      <c r="L69" s="303"/>
      <c r="M69" s="303"/>
      <c r="N69" s="303"/>
      <c r="O69" s="303"/>
      <c r="P69" s="303"/>
      <c r="Q69" s="6"/>
      <c r="R69" s="303" t="s">
        <v>154</v>
      </c>
      <c r="S69" s="303"/>
      <c r="T69" s="303"/>
      <c r="U69" s="303"/>
      <c r="V69" s="303"/>
      <c r="W69" s="303"/>
      <c r="X69" s="303"/>
      <c r="Y69" s="6"/>
      <c r="Z69" s="6"/>
    </row>
    <row r="70" spans="1:26" s="10" customFormat="1" ht="21" customHeight="1">
      <c r="B70" s="304" t="s">
        <v>168</v>
      </c>
      <c r="C70" s="304"/>
      <c r="D70" s="304"/>
      <c r="E70" s="304"/>
      <c r="F70" s="304"/>
      <c r="G70" s="304"/>
      <c r="H70" s="304"/>
      <c r="J70" s="304" t="s">
        <v>168</v>
      </c>
      <c r="K70" s="304"/>
      <c r="L70" s="304"/>
      <c r="M70" s="304"/>
      <c r="N70" s="304"/>
      <c r="O70" s="304"/>
      <c r="P70" s="304"/>
      <c r="R70" s="316" t="s">
        <v>168</v>
      </c>
      <c r="S70" s="316"/>
      <c r="T70" s="316"/>
      <c r="U70" s="316"/>
      <c r="V70" s="316"/>
      <c r="W70" s="316"/>
      <c r="X70" s="316"/>
    </row>
    <row r="71" spans="1:26" s="8" customFormat="1">
      <c r="B71" s="182" t="s">
        <v>156</v>
      </c>
      <c r="C71" s="311" t="s">
        <v>157</v>
      </c>
      <c r="D71" s="311"/>
      <c r="E71" s="311" t="s">
        <v>158</v>
      </c>
      <c r="F71" s="311"/>
      <c r="G71" s="311" t="s">
        <v>159</v>
      </c>
      <c r="H71" s="311"/>
      <c r="J71" s="182" t="s">
        <v>160</v>
      </c>
      <c r="K71" s="312" t="s">
        <v>157</v>
      </c>
      <c r="L71" s="312"/>
      <c r="M71" s="312" t="s">
        <v>158</v>
      </c>
      <c r="N71" s="312"/>
      <c r="O71" s="312" t="s">
        <v>159</v>
      </c>
      <c r="P71" s="312"/>
      <c r="R71" s="9" t="s">
        <v>161</v>
      </c>
      <c r="S71" s="307" t="s">
        <v>157</v>
      </c>
      <c r="T71" s="307"/>
      <c r="U71" s="307" t="s">
        <v>158</v>
      </c>
      <c r="V71" s="307"/>
      <c r="W71" s="307" t="s">
        <v>159</v>
      </c>
      <c r="X71" s="307"/>
    </row>
    <row r="72" spans="1:26" s="8" customFormat="1" ht="12.6">
      <c r="B72" s="34" t="s">
        <v>162</v>
      </c>
      <c r="C72" s="308">
        <v>865.79129999999998</v>
      </c>
      <c r="D72" s="308"/>
      <c r="E72" s="308">
        <v>756.8</v>
      </c>
      <c r="F72" s="308"/>
      <c r="G72" s="308">
        <v>667.7</v>
      </c>
      <c r="H72" s="308"/>
      <c r="J72" s="36" t="s">
        <v>162</v>
      </c>
      <c r="K72" s="309">
        <v>1121.2707</v>
      </c>
      <c r="L72" s="309"/>
      <c r="M72" s="309">
        <v>953.7</v>
      </c>
      <c r="N72" s="309"/>
      <c r="O72" s="309">
        <v>803</v>
      </c>
      <c r="P72" s="309"/>
      <c r="R72" s="37" t="s">
        <v>162</v>
      </c>
      <c r="S72" s="310">
        <v>1256.7521999999999</v>
      </c>
      <c r="T72" s="310"/>
      <c r="U72" s="310">
        <v>1080.2</v>
      </c>
      <c r="V72" s="310"/>
      <c r="W72" s="310">
        <v>910.8</v>
      </c>
      <c r="X72" s="310"/>
    </row>
    <row r="73" spans="1:26" s="8" customFormat="1" ht="12.6">
      <c r="B73" s="34" t="s">
        <v>163</v>
      </c>
      <c r="C73" s="314">
        <v>25973.738999999998</v>
      </c>
      <c r="D73" s="314"/>
      <c r="E73" s="314">
        <v>22704</v>
      </c>
      <c r="F73" s="314"/>
      <c r="G73" s="314">
        <v>20031</v>
      </c>
      <c r="H73" s="314"/>
      <c r="J73" s="36" t="s">
        <v>163</v>
      </c>
      <c r="K73" s="315">
        <v>33638.120999999999</v>
      </c>
      <c r="L73" s="315"/>
      <c r="M73" s="315">
        <v>28611</v>
      </c>
      <c r="N73" s="315"/>
      <c r="O73" s="315">
        <v>24090</v>
      </c>
      <c r="P73" s="315"/>
      <c r="R73" s="37" t="s">
        <v>163</v>
      </c>
      <c r="S73" s="313">
        <v>37702.565999999999</v>
      </c>
      <c r="T73" s="313"/>
      <c r="U73" s="313">
        <v>32406</v>
      </c>
      <c r="V73" s="313"/>
      <c r="W73" s="313">
        <v>27324</v>
      </c>
      <c r="X73" s="313"/>
    </row>
    <row r="78" spans="1:26" ht="14.45" customHeight="1"/>
    <row r="79" spans="1:26">
      <c r="A79" s="177" t="s">
        <v>169</v>
      </c>
      <c r="B79" s="177"/>
      <c r="C79" s="177"/>
      <c r="D79" s="178" t="s">
        <v>170</v>
      </c>
      <c r="E79" s="178" t="s">
        <v>170</v>
      </c>
      <c r="F79" s="178" t="s">
        <v>170</v>
      </c>
      <c r="G79" s="178" t="s">
        <v>170</v>
      </c>
    </row>
    <row r="80" spans="1:26" ht="66" customHeight="1">
      <c r="A80" s="317" t="s">
        <v>171</v>
      </c>
      <c r="B80" s="317"/>
      <c r="C80" s="317"/>
      <c r="D80" s="317"/>
      <c r="E80" s="317"/>
      <c r="F80" s="183" t="s">
        <v>172</v>
      </c>
      <c r="G80" s="183" t="s">
        <v>173</v>
      </c>
    </row>
    <row r="81" spans="1:7">
      <c r="A81" s="179"/>
      <c r="B81" s="179"/>
      <c r="C81" s="179"/>
      <c r="D81" s="179"/>
      <c r="E81" s="181"/>
      <c r="F81" s="181" t="s">
        <v>174</v>
      </c>
      <c r="G81" s="181" t="s">
        <v>175</v>
      </c>
    </row>
    <row r="82" spans="1:7">
      <c r="A82" s="179"/>
      <c r="B82" s="179"/>
      <c r="C82" s="179"/>
      <c r="D82" s="179"/>
      <c r="E82" s="181"/>
      <c r="F82" s="181"/>
      <c r="G82" s="181"/>
    </row>
    <row r="83" spans="1:7" ht="29.1">
      <c r="A83" s="179"/>
      <c r="B83" s="179"/>
      <c r="C83" s="179"/>
      <c r="D83" s="179"/>
      <c r="E83" s="181"/>
      <c r="F83" s="180" t="s">
        <v>176</v>
      </c>
      <c r="G83" s="180" t="s">
        <v>177</v>
      </c>
    </row>
    <row r="84" spans="1:7">
      <c r="A84" s="179"/>
      <c r="B84" s="179"/>
      <c r="C84" s="179"/>
      <c r="D84" s="179"/>
      <c r="E84" s="181"/>
      <c r="F84" s="181" t="s">
        <v>178</v>
      </c>
      <c r="G84" s="181" t="s">
        <v>179</v>
      </c>
    </row>
    <row r="85" spans="1:7">
      <c r="A85" s="179"/>
      <c r="B85" s="179"/>
      <c r="C85" s="179"/>
      <c r="D85" s="179"/>
      <c r="E85" s="181"/>
      <c r="F85" s="181"/>
      <c r="G85" s="181"/>
    </row>
    <row r="86" spans="1:7">
      <c r="A86" s="179"/>
      <c r="B86" s="179"/>
      <c r="C86" s="179"/>
      <c r="D86" s="179"/>
      <c r="E86" s="181"/>
      <c r="F86" s="181"/>
      <c r="G86" s="181"/>
    </row>
    <row r="90" spans="1:7">
      <c r="A90" s="177" t="s">
        <v>180</v>
      </c>
      <c r="B90" s="177"/>
      <c r="C90" s="178" t="s">
        <v>170</v>
      </c>
      <c r="D90" s="178" t="s">
        <v>170</v>
      </c>
      <c r="E90" s="178" t="s">
        <v>170</v>
      </c>
      <c r="F90" s="178" t="s">
        <v>170</v>
      </c>
      <c r="G90" s="178" t="s">
        <v>170</v>
      </c>
    </row>
    <row r="91" spans="1:7" ht="65.25" customHeight="1">
      <c r="A91" s="317" t="s">
        <v>181</v>
      </c>
      <c r="B91" s="317"/>
      <c r="C91" s="317"/>
      <c r="D91" s="317"/>
      <c r="E91" s="317"/>
      <c r="F91" s="183" t="s">
        <v>182</v>
      </c>
      <c r="G91" s="183" t="s">
        <v>183</v>
      </c>
    </row>
    <row r="92" spans="1:7">
      <c r="A92" s="181"/>
      <c r="B92" s="181"/>
      <c r="C92" s="181"/>
      <c r="D92" s="181"/>
      <c r="E92" s="181"/>
      <c r="F92" s="181" t="s">
        <v>184</v>
      </c>
      <c r="G92" s="181" t="s">
        <v>185</v>
      </c>
    </row>
    <row r="93" spans="1:7">
      <c r="A93" s="181"/>
      <c r="B93" s="181"/>
      <c r="C93" s="181"/>
      <c r="D93" s="181"/>
      <c r="E93" s="181" t="s">
        <v>60</v>
      </c>
      <c r="F93" s="181"/>
      <c r="G93" s="181"/>
    </row>
  </sheetData>
  <sheetProtection algorithmName="SHA-512" hashValue="KKV4v0dD95nSrN61L7TeeTYjIojFUrmtm5WcL8Udbrm21MwdSCkWy717ozz7yrXIi28ziEex1+1TRryhjR75JA==" saltValue="v1X2ea8pe2F7t4cLZodnVA==" spinCount="100000" sheet="1" objects="1" scenarios="1"/>
  <mergeCells count="183">
    <mergeCell ref="A80:E80"/>
    <mergeCell ref="A91:E91"/>
    <mergeCell ref="W73:X73"/>
    <mergeCell ref="U72:V72"/>
    <mergeCell ref="W72:X72"/>
    <mergeCell ref="C73:D73"/>
    <mergeCell ref="E73:F73"/>
    <mergeCell ref="G73:H73"/>
    <mergeCell ref="K73:L73"/>
    <mergeCell ref="M73:N73"/>
    <mergeCell ref="O73:P73"/>
    <mergeCell ref="S73:T73"/>
    <mergeCell ref="U73:V73"/>
    <mergeCell ref="S71:T71"/>
    <mergeCell ref="U71:V71"/>
    <mergeCell ref="W71:X71"/>
    <mergeCell ref="C72:D72"/>
    <mergeCell ref="E72:F72"/>
    <mergeCell ref="G72:H72"/>
    <mergeCell ref="K72:L72"/>
    <mergeCell ref="M72:N72"/>
    <mergeCell ref="O72:P72"/>
    <mergeCell ref="S72:T72"/>
    <mergeCell ref="C71:D71"/>
    <mergeCell ref="E71:F71"/>
    <mergeCell ref="G71:H71"/>
    <mergeCell ref="K71:L71"/>
    <mergeCell ref="M71:N71"/>
    <mergeCell ref="O71:P71"/>
    <mergeCell ref="W66:X66"/>
    <mergeCell ref="B69:H69"/>
    <mergeCell ref="J69:P69"/>
    <mergeCell ref="R69:X69"/>
    <mergeCell ref="B70:H70"/>
    <mergeCell ref="J70:P70"/>
    <mergeCell ref="R70:X70"/>
    <mergeCell ref="U65:V65"/>
    <mergeCell ref="W65:X65"/>
    <mergeCell ref="C66:D66"/>
    <mergeCell ref="E66:F66"/>
    <mergeCell ref="G66:H66"/>
    <mergeCell ref="K66:L66"/>
    <mergeCell ref="M66:N66"/>
    <mergeCell ref="O66:P66"/>
    <mergeCell ref="S66:T66"/>
    <mergeCell ref="U66:V66"/>
    <mergeCell ref="S64:T64"/>
    <mergeCell ref="U64:V64"/>
    <mergeCell ref="W64:X64"/>
    <mergeCell ref="C65:D65"/>
    <mergeCell ref="E65:F65"/>
    <mergeCell ref="G65:H65"/>
    <mergeCell ref="K65:L65"/>
    <mergeCell ref="M65:N65"/>
    <mergeCell ref="O65:P65"/>
    <mergeCell ref="S65:T65"/>
    <mergeCell ref="C64:D64"/>
    <mergeCell ref="E64:F64"/>
    <mergeCell ref="G64:H64"/>
    <mergeCell ref="K64:L64"/>
    <mergeCell ref="M64:N64"/>
    <mergeCell ref="O64:P64"/>
    <mergeCell ref="W59:X59"/>
    <mergeCell ref="B62:H62"/>
    <mergeCell ref="J62:P62"/>
    <mergeCell ref="R62:X62"/>
    <mergeCell ref="B63:H63"/>
    <mergeCell ref="J63:P63"/>
    <mergeCell ref="R63:X63"/>
    <mergeCell ref="U58:V58"/>
    <mergeCell ref="W58:X58"/>
    <mergeCell ref="C59:D59"/>
    <mergeCell ref="E59:F59"/>
    <mergeCell ref="G59:H59"/>
    <mergeCell ref="K59:L59"/>
    <mergeCell ref="M59:N59"/>
    <mergeCell ref="O59:P59"/>
    <mergeCell ref="S59:T59"/>
    <mergeCell ref="U59:V59"/>
    <mergeCell ref="S57:T57"/>
    <mergeCell ref="U57:V57"/>
    <mergeCell ref="W57:X57"/>
    <mergeCell ref="C58:D58"/>
    <mergeCell ref="E58:F58"/>
    <mergeCell ref="G58:H58"/>
    <mergeCell ref="K58:L58"/>
    <mergeCell ref="M58:N58"/>
    <mergeCell ref="O58:P58"/>
    <mergeCell ref="S58:T58"/>
    <mergeCell ref="C57:D57"/>
    <mergeCell ref="E57:F57"/>
    <mergeCell ref="G57:H57"/>
    <mergeCell ref="K57:L57"/>
    <mergeCell ref="M57:N57"/>
    <mergeCell ref="O57:P57"/>
    <mergeCell ref="W52:X52"/>
    <mergeCell ref="B55:H55"/>
    <mergeCell ref="J55:P55"/>
    <mergeCell ref="R55:X55"/>
    <mergeCell ref="B56:H56"/>
    <mergeCell ref="J56:P56"/>
    <mergeCell ref="R56:X56"/>
    <mergeCell ref="U51:V51"/>
    <mergeCell ref="W51:X51"/>
    <mergeCell ref="C52:D52"/>
    <mergeCell ref="E52:F52"/>
    <mergeCell ref="G52:H52"/>
    <mergeCell ref="K52:L52"/>
    <mergeCell ref="M52:N52"/>
    <mergeCell ref="O52:P52"/>
    <mergeCell ref="S52:T52"/>
    <mergeCell ref="U52:V52"/>
    <mergeCell ref="S50:T50"/>
    <mergeCell ref="U50:V50"/>
    <mergeCell ref="W50:X50"/>
    <mergeCell ref="C51:D51"/>
    <mergeCell ref="E51:F51"/>
    <mergeCell ref="G51:H51"/>
    <mergeCell ref="K51:L51"/>
    <mergeCell ref="M51:N51"/>
    <mergeCell ref="O51:P51"/>
    <mergeCell ref="S51:T51"/>
    <mergeCell ref="C50:D50"/>
    <mergeCell ref="E50:F50"/>
    <mergeCell ref="G50:H50"/>
    <mergeCell ref="K50:L50"/>
    <mergeCell ref="M50:N50"/>
    <mergeCell ref="O50:P50"/>
    <mergeCell ref="W45:X45"/>
    <mergeCell ref="B48:H48"/>
    <mergeCell ref="J48:P48"/>
    <mergeCell ref="R48:X48"/>
    <mergeCell ref="B49:H49"/>
    <mergeCell ref="J49:P49"/>
    <mergeCell ref="R49:X49"/>
    <mergeCell ref="U44:V44"/>
    <mergeCell ref="W44:X44"/>
    <mergeCell ref="C45:D45"/>
    <mergeCell ref="E45:F45"/>
    <mergeCell ref="G45:H45"/>
    <mergeCell ref="K45:L45"/>
    <mergeCell ref="M45:N45"/>
    <mergeCell ref="O45:P45"/>
    <mergeCell ref="S45:T45"/>
    <mergeCell ref="U45:V45"/>
    <mergeCell ref="S43:T43"/>
    <mergeCell ref="U43:V43"/>
    <mergeCell ref="W43:X43"/>
    <mergeCell ref="C44:D44"/>
    <mergeCell ref="E44:F44"/>
    <mergeCell ref="G44:H44"/>
    <mergeCell ref="K44:L44"/>
    <mergeCell ref="M44:N44"/>
    <mergeCell ref="O44:P44"/>
    <mergeCell ref="S44:T44"/>
    <mergeCell ref="C43:D43"/>
    <mergeCell ref="E43:F43"/>
    <mergeCell ref="G43:H43"/>
    <mergeCell ref="K43:L43"/>
    <mergeCell ref="M43:N43"/>
    <mergeCell ref="O43:P43"/>
    <mergeCell ref="B41:H41"/>
    <mergeCell ref="J41:P41"/>
    <mergeCell ref="R41:X41"/>
    <mergeCell ref="B42:H42"/>
    <mergeCell ref="J42:P42"/>
    <mergeCell ref="R42:X42"/>
    <mergeCell ref="B12:C12"/>
    <mergeCell ref="A15:A18"/>
    <mergeCell ref="B15:C15"/>
    <mergeCell ref="B16:C16"/>
    <mergeCell ref="B17:C17"/>
    <mergeCell ref="B18:C18"/>
    <mergeCell ref="A2:A5"/>
    <mergeCell ref="B2:C2"/>
    <mergeCell ref="B3:C3"/>
    <mergeCell ref="B4:C4"/>
    <mergeCell ref="B5:C5"/>
    <mergeCell ref="A8:A11"/>
    <mergeCell ref="B8:C8"/>
    <mergeCell ref="B9:C9"/>
    <mergeCell ref="B10:C10"/>
    <mergeCell ref="B11:C11"/>
  </mergeCells>
  <pageMargins left="0.7" right="0.7" top="0.78740157499999996" bottom="0.78740157499999996"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369CD-8731-4CDC-883B-9331D6BE106B}">
  <dimension ref="A1:G57"/>
  <sheetViews>
    <sheetView workbookViewId="0">
      <selection activeCell="E17" sqref="E17"/>
    </sheetView>
  </sheetViews>
  <sheetFormatPr defaultColWidth="11.42578125" defaultRowHeight="14.45"/>
  <cols>
    <col min="1" max="1" width="23.140625" customWidth="1"/>
    <col min="2" max="2" width="35.42578125" customWidth="1"/>
  </cols>
  <sheetData>
    <row r="1" spans="1:7">
      <c r="A1" t="s">
        <v>186</v>
      </c>
    </row>
    <row r="3" spans="1:7">
      <c r="C3" t="s">
        <v>187</v>
      </c>
    </row>
    <row r="4" spans="1:7">
      <c r="C4" t="s">
        <v>188</v>
      </c>
    </row>
    <row r="5" spans="1:7">
      <c r="A5" t="s">
        <v>189</v>
      </c>
      <c r="B5" t="str">
        <f>'variable elements'!C11</f>
        <v>Port of Kelheim/Saal</v>
      </c>
      <c r="C5">
        <f>VLOOKUP(B5,'Data_Lock+Port'!P22:Q106,2,FALSE)</f>
        <v>2411</v>
      </c>
    </row>
    <row r="6" spans="1:7">
      <c r="A6" t="s">
        <v>190</v>
      </c>
      <c r="B6" t="str">
        <f>'variable elements'!C12</f>
        <v>Port of Constanța</v>
      </c>
      <c r="C6">
        <f>VLOOKUP(B6,'Data_Lock+Port'!P23:Q107,2,FALSE)</f>
        <v>0</v>
      </c>
    </row>
    <row r="7" spans="1:7">
      <c r="A7" t="s">
        <v>187</v>
      </c>
      <c r="C7">
        <f>ABS(C5-C6)</f>
        <v>2411</v>
      </c>
    </row>
    <row r="8" spans="1:7">
      <c r="A8" t="s">
        <v>191</v>
      </c>
      <c r="C8">
        <f>VLOOKUP(B5,'Data_Lock+Port'!R22:S106,2,FALSE)-VLOOKUP(B6,'Data_Lock+Port'!R22:S106,2,FALSE)</f>
        <v>22</v>
      </c>
    </row>
    <row r="9" spans="1:7">
      <c r="A9" t="s">
        <v>192</v>
      </c>
      <c r="C9">
        <f>C8*'variable elements'!C36</f>
        <v>11</v>
      </c>
    </row>
    <row r="10" spans="1:7">
      <c r="C10" t="s">
        <v>193</v>
      </c>
      <c r="E10" t="s">
        <v>194</v>
      </c>
    </row>
    <row r="11" spans="1:7">
      <c r="A11" t="s">
        <v>195</v>
      </c>
      <c r="C11" s="44">
        <f>C7/'variable elements'!C21</f>
        <v>133.94444444444446</v>
      </c>
      <c r="D11" s="44"/>
      <c r="E11" s="44">
        <f>C7/'variable elements'!C22</f>
        <v>200.91666666666666</v>
      </c>
    </row>
    <row r="12" spans="1:7">
      <c r="A12" t="s">
        <v>196</v>
      </c>
      <c r="C12" s="44">
        <f>'variable elements'!C39+'variable elements'!C40+'variable elements'!C41+'variable elements'!C42+'variable elements'!C34+'variable elements'!C35+'Calculation sheet'!C9</f>
        <v>56</v>
      </c>
      <c r="E12" s="44">
        <f>'variable elements'!C43+'variable elements'!C44+'variable elements'!C45+'variable elements'!C46+'Calculation sheet'!C9</f>
        <v>111</v>
      </c>
    </row>
    <row r="13" spans="1:7">
      <c r="A13" t="s">
        <v>197</v>
      </c>
      <c r="C13" s="44">
        <f>C11+C12</f>
        <v>189.94444444444446</v>
      </c>
      <c r="E13" s="44">
        <f>E11+E12</f>
        <v>311.91666666666663</v>
      </c>
    </row>
    <row r="14" spans="1:7">
      <c r="A14" t="s">
        <v>198</v>
      </c>
      <c r="C14" cm="1">
        <f t="array" ref="C14">_xlfn.IFS('variable elements'!C31="A1",10,'variable elements'!C31="A2",6,'variable elements'!C31="B",0)</f>
        <v>6</v>
      </c>
      <c r="E14" cm="1">
        <f t="array" ref="E14">_xlfn.IFS('variable elements'!C31="A1",10,'variable elements'!C31="A2",6,'variable elements'!C31="B",0)</f>
        <v>6</v>
      </c>
      <c r="G14" t="s">
        <v>199</v>
      </c>
    </row>
    <row r="15" spans="1:7">
      <c r="A15" t="s">
        <v>200</v>
      </c>
      <c r="C15">
        <f>(INT(C13/24))*C14</f>
        <v>42</v>
      </c>
      <c r="E15">
        <f>(INT(E13/24))*E14</f>
        <v>72</v>
      </c>
    </row>
    <row r="16" spans="1:7">
      <c r="A16" t="s">
        <v>201</v>
      </c>
      <c r="C16" s="44">
        <f>C13+C15</f>
        <v>231.94444444444446</v>
      </c>
      <c r="E16" s="44">
        <f>E13+E15</f>
        <v>383.91666666666663</v>
      </c>
    </row>
    <row r="17" spans="1:5">
      <c r="A17" t="s">
        <v>202</v>
      </c>
      <c r="C17" s="44">
        <f>INT(C16/24)</f>
        <v>9</v>
      </c>
      <c r="E17" s="44">
        <f>INT(E16/24)</f>
        <v>15</v>
      </c>
    </row>
    <row r="19" spans="1:5">
      <c r="A19" t="s">
        <v>203</v>
      </c>
      <c r="C19" s="44">
        <f>C16+E16</f>
        <v>615.86111111111109</v>
      </c>
    </row>
    <row r="20" spans="1:5">
      <c r="A20" t="s">
        <v>204</v>
      </c>
      <c r="C20" s="44">
        <f>C17+E17</f>
        <v>24</v>
      </c>
    </row>
    <row r="23" spans="1:5">
      <c r="A23" t="s">
        <v>205</v>
      </c>
      <c r="B23" t="s">
        <v>155</v>
      </c>
      <c r="C23">
        <f>Assets!A12+(('variable elements'!C25-1)*Assets!G12)</f>
        <v>144</v>
      </c>
    </row>
    <row r="24" spans="1:5">
      <c r="B24" t="s">
        <v>73</v>
      </c>
      <c r="C24">
        <f>'variable elements'!C25*Assets!G12</f>
        <v>288</v>
      </c>
    </row>
    <row r="26" spans="1:5">
      <c r="A26" t="s">
        <v>206</v>
      </c>
      <c r="C26" s="46">
        <f>'variable elements'!C25/'variable elements'!C24</f>
        <v>1</v>
      </c>
    </row>
    <row r="28" spans="1:5">
      <c r="A28" t="s">
        <v>207</v>
      </c>
    </row>
    <row r="29" spans="1:5">
      <c r="B29" t="s">
        <v>208</v>
      </c>
      <c r="C29" s="46">
        <f>IF('variable elements'!C16="OWN",Assets!B29,Assets!A29)</f>
        <v>16119.402985074626</v>
      </c>
      <c r="D29" s="46"/>
      <c r="E29" s="46"/>
    </row>
    <row r="30" spans="1:5">
      <c r="B30" t="s">
        <v>73</v>
      </c>
      <c r="C30" s="46">
        <f>IF('variable elements'!C16="OWN",Assets!E29,Assets!D29)</f>
        <v>1465.4002713704208</v>
      </c>
      <c r="D30" s="46"/>
      <c r="E30" s="46"/>
    </row>
    <row r="31" spans="1:5">
      <c r="B31" t="s">
        <v>74</v>
      </c>
      <c r="C31" s="46">
        <f>IF('variable elements'!C17="OWN",Assets!H29,Assets!G29)</f>
        <v>1934.3283582089553</v>
      </c>
      <c r="D31" s="46"/>
      <c r="E31" s="46"/>
    </row>
    <row r="32" spans="1:5">
      <c r="B32" t="s">
        <v>209</v>
      </c>
      <c r="C32" s="46">
        <f>IF('variable elements'!C18="OWN",Assets!K29,Assets!J29)</f>
        <v>48.358208955223887</v>
      </c>
      <c r="D32" s="46"/>
      <c r="E32" s="46"/>
    </row>
    <row r="33" spans="1:5">
      <c r="A33" t="s">
        <v>210</v>
      </c>
      <c r="C33" s="46">
        <f>IF('variable elements'!C15="MCV",C29,C30)+('variable elements'!C24-'variable elements'!C25)*'Calculation sheet'!C31+('variable elements'!C25*'Calculation sheet'!C32)</f>
        <v>1513.7584803256448</v>
      </c>
      <c r="D33" s="46"/>
      <c r="E33" s="46"/>
    </row>
    <row r="34" spans="1:5">
      <c r="C34" s="46"/>
      <c r="D34" s="46"/>
      <c r="E34" s="46"/>
    </row>
    <row r="35" spans="1:5">
      <c r="A35" t="s">
        <v>211</v>
      </c>
      <c r="C35" s="46">
        <f>('variable elements'!$C3*'variable elements'!$C2)*(1+'variable elements'!C5)</f>
        <v>124.3125</v>
      </c>
      <c r="D35" s="46"/>
      <c r="E35" s="46">
        <f>('variable elements'!$C3*'variable elements'!$C2)*(1+'variable elements'!C5)</f>
        <v>124.3125</v>
      </c>
    </row>
    <row r="36" spans="1:5">
      <c r="A36" t="s">
        <v>212</v>
      </c>
      <c r="C36" s="46">
        <f>C35*C11</f>
        <v>16650.96875</v>
      </c>
      <c r="D36" s="46"/>
      <c r="E36" s="46">
        <f>E35*E11</f>
        <v>24976.453125</v>
      </c>
    </row>
    <row r="37" spans="1:5">
      <c r="A37" t="s">
        <v>213</v>
      </c>
      <c r="C37" s="46">
        <f>C36/C17</f>
        <v>1850.1076388888889</v>
      </c>
      <c r="D37" s="46"/>
      <c r="E37" s="46">
        <f>E36/E17</f>
        <v>1665.096875</v>
      </c>
    </row>
    <row r="38" spans="1:5">
      <c r="A38" t="s">
        <v>214</v>
      </c>
      <c r="C38" s="46">
        <f>(C36+E36)/C20</f>
        <v>1734.4759114583333</v>
      </c>
      <c r="D38" s="46"/>
      <c r="E38" s="46"/>
    </row>
    <row r="39" spans="1:5">
      <c r="C39" s="46"/>
      <c r="D39" s="46"/>
      <c r="E39" s="46"/>
    </row>
    <row r="40" spans="1:5">
      <c r="C40" s="46"/>
      <c r="D40" s="46"/>
      <c r="E40" s="46"/>
    </row>
    <row r="41" spans="1:5">
      <c r="A41" t="s">
        <v>215</v>
      </c>
      <c r="C41" s="46">
        <f>'variable elements'!$C4*'variable elements'!$C2*(1+'variable elements'!C5)</f>
        <v>12.75</v>
      </c>
      <c r="D41" s="46"/>
      <c r="E41" s="46">
        <f>'variable elements'!$C4*'variable elements'!$C2*(1+'variable elements'!C5)</f>
        <v>12.75</v>
      </c>
    </row>
    <row r="42" spans="1:5">
      <c r="A42" t="s">
        <v>216</v>
      </c>
      <c r="C42" s="46">
        <f>C41*(C16-C15-C12)</f>
        <v>1707.7916666666667</v>
      </c>
      <c r="D42" s="46"/>
      <c r="E42" s="46">
        <f>E41*(E16-E15-E12)</f>
        <v>2561.6874999999995</v>
      </c>
    </row>
    <row r="43" spans="1:5">
      <c r="A43" t="s">
        <v>217</v>
      </c>
      <c r="C43" s="46">
        <f>C42/C17</f>
        <v>189.75462962962965</v>
      </c>
      <c r="D43" s="46"/>
      <c r="E43" s="46">
        <f>E42/E17</f>
        <v>170.77916666666664</v>
      </c>
    </row>
    <row r="44" spans="1:5">
      <c r="A44" t="s">
        <v>218</v>
      </c>
      <c r="C44" s="46">
        <f>(C42+E42)/C20</f>
        <v>177.89496527777774</v>
      </c>
      <c r="D44" s="46"/>
      <c r="E44" s="46"/>
    </row>
    <row r="45" spans="1:5">
      <c r="A45" t="s">
        <v>219</v>
      </c>
      <c r="C45" s="46">
        <f>C38+C44</f>
        <v>1912.3708767361111</v>
      </c>
      <c r="D45" s="46"/>
      <c r="E45" s="46"/>
    </row>
    <row r="46" spans="1:5">
      <c r="C46" s="46"/>
      <c r="D46" s="46"/>
      <c r="E46" s="46"/>
    </row>
    <row r="47" spans="1:5">
      <c r="A47" t="s">
        <v>220</v>
      </c>
      <c r="C47" s="46">
        <f>C37+C43+'variable elements'!C32</f>
        <v>2689.8622685185182</v>
      </c>
      <c r="D47" s="46"/>
      <c r="E47" s="46">
        <f>E37+E43+'variable elements'!C32</f>
        <v>2485.8760416666664</v>
      </c>
    </row>
    <row r="48" spans="1:5">
      <c r="A48" t="s">
        <v>221</v>
      </c>
      <c r="C48" s="46">
        <f>C45+'variable elements'!C32</f>
        <v>2562.3708767361113</v>
      </c>
      <c r="D48" s="46"/>
      <c r="E48" s="46"/>
    </row>
    <row r="49" spans="1:5">
      <c r="A49" t="s">
        <v>222</v>
      </c>
      <c r="C49" s="44">
        <f>C17+E17</f>
        <v>24</v>
      </c>
    </row>
    <row r="50" spans="1:5">
      <c r="A50" t="s">
        <v>223</v>
      </c>
      <c r="C50" s="32">
        <f>'variable elements'!C7</f>
        <v>0.06</v>
      </c>
      <c r="E50" s="32">
        <f>C50</f>
        <v>0.06</v>
      </c>
    </row>
    <row r="51" spans="1:5">
      <c r="A51" t="s">
        <v>224</v>
      </c>
      <c r="C51" s="44">
        <f>C48+C33*(1+C50)</f>
        <v>4166.9548658812946</v>
      </c>
      <c r="D51" s="44"/>
      <c r="E51" s="44">
        <f>E47+C33*(1+E50)</f>
        <v>4090.4600308118497</v>
      </c>
    </row>
    <row r="52" spans="1:5">
      <c r="A52" t="s">
        <v>225</v>
      </c>
      <c r="C52" s="44">
        <f>C51*C17/IF('variable elements'!C15="MCV",C23*'variable elements'!C28,C24*'variable elements'!C29)</f>
        <v>173.62311941172061</v>
      </c>
      <c r="D52" s="44"/>
      <c r="E52" s="44">
        <f>E51*E17/IF('variable elements'!C15="MCV",C23*'variable elements'!C28,C24*'variable elements'!C29)</f>
        <v>284.059724361934</v>
      </c>
    </row>
    <row r="53" spans="1:5">
      <c r="C53" s="44"/>
      <c r="D53" s="44"/>
      <c r="E53" s="44"/>
    </row>
    <row r="54" spans="1:5">
      <c r="C54" s="44"/>
      <c r="D54" s="44"/>
      <c r="E54" s="44"/>
    </row>
    <row r="55" spans="1:5">
      <c r="A55" t="s">
        <v>226</v>
      </c>
      <c r="C55" s="46">
        <f>C51*C49*(1+C50)</f>
        <v>106007.33178802014</v>
      </c>
    </row>
    <row r="56" spans="1:5">
      <c r="A56" t="s">
        <v>227</v>
      </c>
      <c r="C56" s="47">
        <f>('variable elements'!C28+'variable elements'!C29)/2</f>
        <v>0.77500000000000002</v>
      </c>
    </row>
    <row r="57" spans="1:5">
      <c r="A57" t="s">
        <v>228</v>
      </c>
      <c r="C57" s="46">
        <f>C55/IF('variable elements'!C15="MCV",C23*C56*2,C24*C56*2)</f>
        <v>237.47162138893398</v>
      </c>
      <c r="D57" t="s">
        <v>229</v>
      </c>
    </row>
  </sheetData>
  <sheetProtection algorithmName="SHA-512" hashValue="k+B710mH58yXQeVFUzRXmHgCZ4WIar0nXadmQVh8IIvLf62u4kfN8wErBQvxyUXqm4roL/pw5btrhsce0WZnLQ==" saltValue="Yeg1rbWACb43cFIZeYuo6Q==" spinCount="100000" sheet="1" objects="1" scenarios="1"/>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8F852-886F-400F-86A3-BE2F64EC2B01}">
  <dimension ref="A1:U106"/>
  <sheetViews>
    <sheetView topLeftCell="E1" workbookViewId="0">
      <selection activeCell="K27" sqref="K27"/>
    </sheetView>
  </sheetViews>
  <sheetFormatPr defaultColWidth="11.42578125" defaultRowHeight="14.45"/>
  <cols>
    <col min="1" max="1" width="16.5703125" bestFit="1" customWidth="1"/>
    <col min="2" max="2" width="22.85546875" bestFit="1" customWidth="1"/>
    <col min="3" max="3" width="9" bestFit="1" customWidth="1"/>
    <col min="4" max="4" width="5.28515625" bestFit="1" customWidth="1"/>
    <col min="5" max="5" width="38.140625" bestFit="1" customWidth="1"/>
    <col min="6" max="6" width="7.7109375" bestFit="1" customWidth="1"/>
    <col min="7" max="7" width="10" bestFit="1" customWidth="1"/>
    <col min="9" max="9" width="9.7109375" bestFit="1" customWidth="1"/>
    <col min="10" max="10" width="10.140625" bestFit="1" customWidth="1"/>
    <col min="11" max="11" width="10.7109375" bestFit="1" customWidth="1"/>
    <col min="13" max="13" width="20.140625" customWidth="1"/>
    <col min="16" max="16" width="35.42578125" customWidth="1"/>
  </cols>
  <sheetData>
    <row r="1" spans="1:14">
      <c r="A1" s="13" t="s">
        <v>230</v>
      </c>
      <c r="B1" s="13" t="s">
        <v>231</v>
      </c>
      <c r="C1" s="13" t="s">
        <v>232</v>
      </c>
      <c r="D1" s="13" t="s">
        <v>233</v>
      </c>
      <c r="E1" s="13" t="s">
        <v>234</v>
      </c>
      <c r="F1" s="13" t="s">
        <v>235</v>
      </c>
      <c r="G1" s="14" t="s">
        <v>236</v>
      </c>
      <c r="H1" s="14" t="s">
        <v>237</v>
      </c>
      <c r="I1" s="15" t="s">
        <v>238</v>
      </c>
      <c r="J1" s="16" t="s">
        <v>239</v>
      </c>
      <c r="K1" s="16" t="s">
        <v>240</v>
      </c>
    </row>
    <row r="2" spans="1:14">
      <c r="A2" s="17" t="s">
        <v>241</v>
      </c>
      <c r="B2" s="18" t="s">
        <v>242</v>
      </c>
      <c r="C2" s="19">
        <v>2397.17</v>
      </c>
      <c r="D2" s="18"/>
      <c r="E2" s="18" t="s">
        <v>243</v>
      </c>
      <c r="F2" s="18" t="s">
        <v>244</v>
      </c>
      <c r="G2" s="20" t="s">
        <v>245</v>
      </c>
      <c r="H2" s="20" t="s">
        <v>246</v>
      </c>
      <c r="I2" s="18"/>
      <c r="J2" s="18">
        <v>12</v>
      </c>
      <c r="K2" s="18">
        <v>190</v>
      </c>
    </row>
    <row r="3" spans="1:14">
      <c r="A3" s="21" t="s">
        <v>241</v>
      </c>
      <c r="B3" s="22" t="s">
        <v>242</v>
      </c>
      <c r="C3" s="23">
        <v>2379.6799999999998</v>
      </c>
      <c r="D3" s="22"/>
      <c r="E3" s="22" t="s">
        <v>247</v>
      </c>
      <c r="F3" s="22" t="s">
        <v>244</v>
      </c>
      <c r="G3" s="24" t="s">
        <v>248</v>
      </c>
      <c r="H3" s="24" t="s">
        <v>249</v>
      </c>
      <c r="I3" s="22" t="s">
        <v>250</v>
      </c>
      <c r="J3" s="22">
        <v>12</v>
      </c>
      <c r="K3" s="22">
        <v>190</v>
      </c>
    </row>
    <row r="4" spans="1:14">
      <c r="A4" s="17" t="s">
        <v>241</v>
      </c>
      <c r="B4" s="18" t="s">
        <v>242</v>
      </c>
      <c r="C4" s="19">
        <v>2354.29</v>
      </c>
      <c r="D4" s="18"/>
      <c r="E4" s="18" t="s">
        <v>251</v>
      </c>
      <c r="F4" s="18" t="s">
        <v>244</v>
      </c>
      <c r="G4" s="20" t="s">
        <v>252</v>
      </c>
      <c r="H4" s="20" t="s">
        <v>253</v>
      </c>
      <c r="I4" s="18"/>
      <c r="J4" s="18">
        <v>24</v>
      </c>
      <c r="K4" s="18">
        <v>230</v>
      </c>
    </row>
    <row r="5" spans="1:14">
      <c r="A5" s="21" t="s">
        <v>241</v>
      </c>
      <c r="B5" s="22" t="s">
        <v>242</v>
      </c>
      <c r="C5" s="23">
        <v>2324.13</v>
      </c>
      <c r="D5" s="22"/>
      <c r="E5" s="22" t="s">
        <v>254</v>
      </c>
      <c r="F5" s="22" t="s">
        <v>244</v>
      </c>
      <c r="G5" s="24" t="s">
        <v>255</v>
      </c>
      <c r="H5" s="24" t="s">
        <v>256</v>
      </c>
      <c r="I5" s="22"/>
      <c r="J5" s="22">
        <v>24</v>
      </c>
      <c r="K5" s="22">
        <v>230</v>
      </c>
    </row>
    <row r="6" spans="1:14">
      <c r="A6" s="21" t="s">
        <v>241</v>
      </c>
      <c r="B6" s="22" t="s">
        <v>242</v>
      </c>
      <c r="C6" s="23">
        <v>2230.6</v>
      </c>
      <c r="D6" s="22"/>
      <c r="E6" s="22" t="s">
        <v>257</v>
      </c>
      <c r="F6" s="22" t="s">
        <v>244</v>
      </c>
      <c r="G6" s="24" t="s">
        <v>258</v>
      </c>
      <c r="H6" s="24" t="s">
        <v>259</v>
      </c>
      <c r="I6" s="22"/>
      <c r="J6" s="22">
        <v>24</v>
      </c>
      <c r="K6" s="22">
        <v>230</v>
      </c>
    </row>
    <row r="7" spans="1:14">
      <c r="A7" s="17" t="s">
        <v>241</v>
      </c>
      <c r="B7" s="18" t="s">
        <v>242</v>
      </c>
      <c r="C7" s="19">
        <v>2203.33</v>
      </c>
      <c r="D7" s="18"/>
      <c r="E7" s="18" t="s">
        <v>260</v>
      </c>
      <c r="F7" s="18" t="s">
        <v>244</v>
      </c>
      <c r="G7" s="20" t="s">
        <v>261</v>
      </c>
      <c r="H7" s="20" t="s">
        <v>262</v>
      </c>
      <c r="I7" s="18"/>
      <c r="J7" s="18">
        <v>24</v>
      </c>
      <c r="K7" s="18">
        <v>230</v>
      </c>
    </row>
    <row r="8" spans="1:14">
      <c r="A8" s="21" t="s">
        <v>241</v>
      </c>
      <c r="B8" s="22" t="s">
        <v>242</v>
      </c>
      <c r="C8" s="23">
        <v>2162.67</v>
      </c>
      <c r="D8" s="22" t="s">
        <v>263</v>
      </c>
      <c r="E8" s="22" t="s">
        <v>264</v>
      </c>
      <c r="F8" s="22" t="s">
        <v>244</v>
      </c>
      <c r="G8" s="24" t="s">
        <v>265</v>
      </c>
      <c r="H8" s="24" t="s">
        <v>266</v>
      </c>
      <c r="I8" s="22"/>
      <c r="J8" s="22">
        <v>24</v>
      </c>
      <c r="K8" s="22">
        <v>230</v>
      </c>
    </row>
    <row r="9" spans="1:14">
      <c r="A9" s="21" t="s">
        <v>241</v>
      </c>
      <c r="B9" s="22" t="s">
        <v>242</v>
      </c>
      <c r="C9" s="23">
        <v>2146.8200000000002</v>
      </c>
      <c r="D9" s="22" t="s">
        <v>267</v>
      </c>
      <c r="E9" s="22" t="s">
        <v>268</v>
      </c>
      <c r="F9" s="22" t="s">
        <v>244</v>
      </c>
      <c r="G9" s="24" t="s">
        <v>269</v>
      </c>
      <c r="H9" s="24" t="s">
        <v>270</v>
      </c>
      <c r="I9" s="22"/>
      <c r="J9" s="22">
        <v>24</v>
      </c>
      <c r="K9" s="22">
        <v>230</v>
      </c>
    </row>
    <row r="10" spans="1:14">
      <c r="A10" s="21" t="s">
        <v>241</v>
      </c>
      <c r="B10" s="22" t="s">
        <v>242</v>
      </c>
      <c r="C10" s="23">
        <v>2119.54</v>
      </c>
      <c r="D10" s="22" t="s">
        <v>267</v>
      </c>
      <c r="E10" s="22" t="s">
        <v>271</v>
      </c>
      <c r="F10" s="22" t="s">
        <v>244</v>
      </c>
      <c r="G10" s="24" t="s">
        <v>272</v>
      </c>
      <c r="H10" s="24" t="s">
        <v>273</v>
      </c>
      <c r="I10" s="22"/>
      <c r="J10" s="22">
        <v>24</v>
      </c>
      <c r="K10" s="22">
        <v>230</v>
      </c>
    </row>
    <row r="11" spans="1:14">
      <c r="A11" s="17" t="s">
        <v>241</v>
      </c>
      <c r="B11" s="18" t="s">
        <v>242</v>
      </c>
      <c r="C11" s="19">
        <v>2095.06</v>
      </c>
      <c r="D11" s="18" t="s">
        <v>267</v>
      </c>
      <c r="E11" s="18" t="s">
        <v>274</v>
      </c>
      <c r="F11" s="18" t="s">
        <v>244</v>
      </c>
      <c r="G11" s="20" t="s">
        <v>275</v>
      </c>
      <c r="H11" s="20" t="s">
        <v>276</v>
      </c>
      <c r="I11" s="18"/>
      <c r="J11" s="18">
        <v>24</v>
      </c>
      <c r="K11" s="18">
        <v>230</v>
      </c>
    </row>
    <row r="12" spans="1:14">
      <c r="A12" s="21" t="s">
        <v>241</v>
      </c>
      <c r="B12" s="22" t="s">
        <v>242</v>
      </c>
      <c r="C12" s="23">
        <v>2060.42</v>
      </c>
      <c r="D12" s="22" t="s">
        <v>267</v>
      </c>
      <c r="E12" s="22" t="s">
        <v>277</v>
      </c>
      <c r="F12" s="22" t="s">
        <v>244</v>
      </c>
      <c r="G12" s="24" t="s">
        <v>278</v>
      </c>
      <c r="H12" s="24" t="s">
        <v>279</v>
      </c>
      <c r="I12" s="22"/>
      <c r="J12" s="22">
        <v>24</v>
      </c>
      <c r="K12" s="22">
        <v>230</v>
      </c>
    </row>
    <row r="13" spans="1:14">
      <c r="A13" s="17" t="s">
        <v>241</v>
      </c>
      <c r="B13" s="18" t="s">
        <v>242</v>
      </c>
      <c r="C13" s="19">
        <v>2038.06</v>
      </c>
      <c r="D13" s="18" t="s">
        <v>267</v>
      </c>
      <c r="E13" s="18" t="s">
        <v>280</v>
      </c>
      <c r="F13" s="18" t="s">
        <v>244</v>
      </c>
      <c r="G13" s="20" t="s">
        <v>281</v>
      </c>
      <c r="H13" s="20" t="s">
        <v>282</v>
      </c>
      <c r="I13" s="18"/>
      <c r="J13" s="18">
        <v>24</v>
      </c>
      <c r="K13" s="18">
        <v>230</v>
      </c>
    </row>
    <row r="14" spans="1:14">
      <c r="A14" s="17" t="s">
        <v>241</v>
      </c>
      <c r="B14" s="18" t="s">
        <v>242</v>
      </c>
      <c r="C14" s="19">
        <v>1980.11</v>
      </c>
      <c r="D14" s="18" t="s">
        <v>267</v>
      </c>
      <c r="E14" s="18" t="s">
        <v>283</v>
      </c>
      <c r="F14" s="18" t="s">
        <v>244</v>
      </c>
      <c r="G14" s="20" t="s">
        <v>284</v>
      </c>
      <c r="H14" s="20" t="s">
        <v>285</v>
      </c>
      <c r="I14" s="18"/>
      <c r="J14" s="18">
        <v>24</v>
      </c>
      <c r="K14" s="18">
        <v>230</v>
      </c>
    </row>
    <row r="15" spans="1:14">
      <c r="A15" s="17" t="s">
        <v>241</v>
      </c>
      <c r="B15" s="18" t="s">
        <v>242</v>
      </c>
      <c r="C15" s="19">
        <v>1949.2</v>
      </c>
      <c r="D15" s="18" t="s">
        <v>263</v>
      </c>
      <c r="E15" s="18" t="s">
        <v>286</v>
      </c>
      <c r="F15" s="18" t="s">
        <v>244</v>
      </c>
      <c r="G15" s="20" t="s">
        <v>287</v>
      </c>
      <c r="H15" s="20" t="s">
        <v>288</v>
      </c>
      <c r="I15" s="18"/>
      <c r="J15" s="18">
        <v>24</v>
      </c>
      <c r="K15" s="18">
        <v>230</v>
      </c>
    </row>
    <row r="16" spans="1:14">
      <c r="A16" s="17" t="s">
        <v>241</v>
      </c>
      <c r="B16" s="18" t="s">
        <v>242</v>
      </c>
      <c r="C16" s="19">
        <v>1921.05</v>
      </c>
      <c r="D16" s="18" t="s">
        <v>263</v>
      </c>
      <c r="E16" s="18" t="s">
        <v>289</v>
      </c>
      <c r="F16" s="18" t="s">
        <v>244</v>
      </c>
      <c r="G16" s="20" t="s">
        <v>290</v>
      </c>
      <c r="H16" s="20" t="s">
        <v>291</v>
      </c>
      <c r="I16" s="18"/>
      <c r="J16" s="18">
        <v>24</v>
      </c>
      <c r="K16" s="18">
        <v>275</v>
      </c>
      <c r="N16">
        <f>N22</f>
        <v>2130.6999999999998</v>
      </c>
    </row>
    <row r="17" spans="1:21">
      <c r="A17" s="21" t="s">
        <v>241</v>
      </c>
      <c r="B17" s="22" t="s">
        <v>242</v>
      </c>
      <c r="C17" s="23">
        <v>1819.15</v>
      </c>
      <c r="D17" s="22"/>
      <c r="E17" s="22" t="s">
        <v>292</v>
      </c>
      <c r="F17" s="22" t="s">
        <v>244</v>
      </c>
      <c r="G17" s="24" t="s">
        <v>293</v>
      </c>
      <c r="H17" s="24" t="s">
        <v>294</v>
      </c>
      <c r="I17" s="22"/>
      <c r="J17" s="22">
        <v>34</v>
      </c>
      <c r="K17" s="22">
        <v>280</v>
      </c>
    </row>
    <row r="18" spans="1:21">
      <c r="A18" s="17" t="s">
        <v>241</v>
      </c>
      <c r="B18" s="18" t="s">
        <v>242</v>
      </c>
      <c r="C18" s="19">
        <v>942.95</v>
      </c>
      <c r="D18" s="18"/>
      <c r="E18" s="18" t="s">
        <v>295</v>
      </c>
      <c r="F18" s="18" t="s">
        <v>244</v>
      </c>
      <c r="G18" s="20" t="s">
        <v>296</v>
      </c>
      <c r="H18" s="20" t="s">
        <v>297</v>
      </c>
      <c r="I18" s="18"/>
      <c r="J18" s="18">
        <v>34</v>
      </c>
      <c r="K18" s="18">
        <v>310</v>
      </c>
    </row>
    <row r="19" spans="1:21">
      <c r="A19" s="17" t="s">
        <v>241</v>
      </c>
      <c r="B19" s="18" t="s">
        <v>242</v>
      </c>
      <c r="C19" s="19">
        <v>863.7</v>
      </c>
      <c r="D19" s="18"/>
      <c r="E19" s="18" t="s">
        <v>298</v>
      </c>
      <c r="F19" s="18" t="s">
        <v>244</v>
      </c>
      <c r="G19" s="20" t="s">
        <v>299</v>
      </c>
      <c r="H19" s="20" t="s">
        <v>300</v>
      </c>
      <c r="I19" s="18"/>
      <c r="J19" s="18">
        <v>34</v>
      </c>
      <c r="K19" s="18">
        <v>310</v>
      </c>
    </row>
    <row r="20" spans="1:21">
      <c r="A20" s="17" t="s">
        <v>241</v>
      </c>
      <c r="B20" s="18" t="s">
        <v>301</v>
      </c>
      <c r="C20" s="19">
        <v>59.9</v>
      </c>
      <c r="D20" s="18"/>
      <c r="E20" s="18" t="s">
        <v>302</v>
      </c>
      <c r="F20" s="18" t="s">
        <v>244</v>
      </c>
      <c r="G20" s="20" t="s">
        <v>303</v>
      </c>
      <c r="H20" s="20" t="s">
        <v>304</v>
      </c>
      <c r="I20" s="18"/>
      <c r="J20" s="18">
        <v>25</v>
      </c>
      <c r="K20" s="18">
        <v>300</v>
      </c>
    </row>
    <row r="21" spans="1:21">
      <c r="A21" s="17" t="s">
        <v>241</v>
      </c>
      <c r="B21" s="18" t="s">
        <v>301</v>
      </c>
      <c r="C21" s="19">
        <v>1.6</v>
      </c>
      <c r="D21" s="18"/>
      <c r="E21" s="18" t="s">
        <v>305</v>
      </c>
      <c r="F21" s="18" t="s">
        <v>244</v>
      </c>
      <c r="G21" s="20" t="s">
        <v>306</v>
      </c>
      <c r="H21" s="20" t="s">
        <v>307</v>
      </c>
      <c r="I21" s="18"/>
      <c r="J21" s="18">
        <v>25</v>
      </c>
      <c r="K21" s="18">
        <v>310</v>
      </c>
      <c r="M21" t="s">
        <v>308</v>
      </c>
      <c r="N21" t="s">
        <v>187</v>
      </c>
      <c r="O21" t="s">
        <v>191</v>
      </c>
      <c r="P21" t="s">
        <v>308</v>
      </c>
      <c r="Q21" t="s">
        <v>187</v>
      </c>
      <c r="R21" t="s">
        <v>308</v>
      </c>
      <c r="S21" t="s">
        <v>191</v>
      </c>
    </row>
    <row r="22" spans="1:21">
      <c r="A22" s="21" t="s">
        <v>308</v>
      </c>
      <c r="B22" s="22" t="s">
        <v>242</v>
      </c>
      <c r="C22" s="22">
        <v>2411</v>
      </c>
      <c r="D22" s="22" t="s">
        <v>263</v>
      </c>
      <c r="E22" s="22" t="s">
        <v>102</v>
      </c>
      <c r="F22" s="22" t="s">
        <v>309</v>
      </c>
      <c r="G22" s="24" t="s">
        <v>310</v>
      </c>
      <c r="H22" s="24" t="s">
        <v>311</v>
      </c>
      <c r="I22" s="22" t="s">
        <v>250</v>
      </c>
      <c r="J22" s="22"/>
      <c r="K22" s="22"/>
      <c r="M22" t="s">
        <v>312</v>
      </c>
      <c r="N22">
        <f>VLOOKUP(M22,P22:Q106,2,FALSE)</f>
        <v>2130.6999999999998</v>
      </c>
      <c r="O22">
        <f>VLOOKUP(M22,R22:S106,2,FALSE)</f>
        <v>12</v>
      </c>
      <c r="P22" s="22" t="s">
        <v>102</v>
      </c>
      <c r="Q22" s="22">
        <v>2411</v>
      </c>
      <c r="R22" s="22" t="s">
        <v>102</v>
      </c>
      <c r="S22">
        <v>20</v>
      </c>
      <c r="T22">
        <v>20</v>
      </c>
      <c r="U22" s="19">
        <v>2397.17</v>
      </c>
    </row>
    <row r="23" spans="1:21">
      <c r="A23" s="17" t="s">
        <v>313</v>
      </c>
      <c r="B23" s="18" t="s">
        <v>242</v>
      </c>
      <c r="C23" s="18">
        <v>2376.3000000000002</v>
      </c>
      <c r="D23" s="18" t="s">
        <v>267</v>
      </c>
      <c r="E23" s="18" t="s">
        <v>314</v>
      </c>
      <c r="F23" s="18" t="s">
        <v>309</v>
      </c>
      <c r="G23" s="20" t="s">
        <v>315</v>
      </c>
      <c r="H23" s="20" t="s">
        <v>316</v>
      </c>
      <c r="I23" s="18" t="s">
        <v>250</v>
      </c>
      <c r="J23" s="18"/>
      <c r="K23" s="18"/>
      <c r="P23" s="18" t="s">
        <v>314</v>
      </c>
      <c r="Q23" s="18">
        <v>2376.3000000000002</v>
      </c>
      <c r="R23" s="18" t="s">
        <v>314</v>
      </c>
      <c r="S23">
        <v>19</v>
      </c>
      <c r="T23">
        <f>T22-1</f>
        <v>19</v>
      </c>
      <c r="U23" s="23">
        <v>2379.6799999999998</v>
      </c>
    </row>
    <row r="24" spans="1:21">
      <c r="A24" s="21" t="s">
        <v>313</v>
      </c>
      <c r="B24" s="22" t="s">
        <v>242</v>
      </c>
      <c r="C24" s="22">
        <v>2373.1</v>
      </c>
      <c r="D24" s="22" t="s">
        <v>263</v>
      </c>
      <c r="E24" s="22" t="s">
        <v>317</v>
      </c>
      <c r="F24" s="22" t="s">
        <v>309</v>
      </c>
      <c r="G24" s="24" t="s">
        <v>318</v>
      </c>
      <c r="H24" s="24" t="s">
        <v>319</v>
      </c>
      <c r="I24" s="22" t="s">
        <v>250</v>
      </c>
      <c r="J24" s="22"/>
      <c r="K24" s="22"/>
      <c r="P24" s="22" t="s">
        <v>317</v>
      </c>
      <c r="Q24" s="22">
        <v>2373.1</v>
      </c>
      <c r="R24" s="22" t="s">
        <v>317</v>
      </c>
      <c r="S24">
        <v>19</v>
      </c>
      <c r="T24">
        <f t="shared" ref="T24:T41" si="0">T23-1</f>
        <v>18</v>
      </c>
      <c r="U24" s="19">
        <v>2354.29</v>
      </c>
    </row>
    <row r="25" spans="1:21">
      <c r="A25" s="17" t="s">
        <v>313</v>
      </c>
      <c r="B25" s="18" t="s">
        <v>242</v>
      </c>
      <c r="C25" s="18">
        <v>2313.3000000000002</v>
      </c>
      <c r="D25" s="18" t="s">
        <v>263</v>
      </c>
      <c r="E25" s="18" t="s">
        <v>320</v>
      </c>
      <c r="F25" s="18" t="s">
        <v>309</v>
      </c>
      <c r="G25" s="20" t="s">
        <v>321</v>
      </c>
      <c r="H25" s="20" t="s">
        <v>322</v>
      </c>
      <c r="I25" s="18"/>
      <c r="J25" s="18"/>
      <c r="K25" s="18"/>
      <c r="M25" t="s">
        <v>323</v>
      </c>
      <c r="N25">
        <f>VLOOKUP(M25,P22:Q106,2,FALSE)</f>
        <v>1572</v>
      </c>
      <c r="O25">
        <f>VLOOKUP(M25,R22:S106,2,FALSE)</f>
        <v>4</v>
      </c>
      <c r="P25" s="18" t="s">
        <v>320</v>
      </c>
      <c r="Q25" s="18">
        <v>2313.3000000000002</v>
      </c>
      <c r="R25" s="18" t="s">
        <v>320</v>
      </c>
      <c r="S25">
        <v>17</v>
      </c>
      <c r="T25">
        <f t="shared" si="0"/>
        <v>17</v>
      </c>
      <c r="U25" s="23">
        <v>2324.13</v>
      </c>
    </row>
    <row r="26" spans="1:21">
      <c r="A26" s="21" t="s">
        <v>308</v>
      </c>
      <c r="B26" s="22" t="s">
        <v>242</v>
      </c>
      <c r="C26" s="22">
        <v>2283</v>
      </c>
      <c r="D26" s="22" t="s">
        <v>267</v>
      </c>
      <c r="E26" s="22" t="s">
        <v>324</v>
      </c>
      <c r="F26" s="22" t="s">
        <v>309</v>
      </c>
      <c r="G26" s="24" t="s">
        <v>325</v>
      </c>
      <c r="H26" s="24" t="s">
        <v>326</v>
      </c>
      <c r="I26" s="22" t="s">
        <v>250</v>
      </c>
      <c r="J26" s="22"/>
      <c r="K26" s="22"/>
      <c r="P26" s="22" t="s">
        <v>324</v>
      </c>
      <c r="Q26" s="22">
        <v>2283</v>
      </c>
      <c r="R26" s="22" t="s">
        <v>324</v>
      </c>
      <c r="S26">
        <v>17</v>
      </c>
      <c r="T26">
        <f t="shared" si="0"/>
        <v>16</v>
      </c>
      <c r="U26" s="23">
        <v>2230.6</v>
      </c>
    </row>
    <row r="27" spans="1:21">
      <c r="A27" s="17" t="s">
        <v>313</v>
      </c>
      <c r="B27" s="18" t="s">
        <v>242</v>
      </c>
      <c r="C27" s="18">
        <v>2232.4</v>
      </c>
      <c r="D27" s="18" t="s">
        <v>267</v>
      </c>
      <c r="E27" s="18" t="s">
        <v>327</v>
      </c>
      <c r="F27" s="18" t="s">
        <v>309</v>
      </c>
      <c r="G27" s="20" t="s">
        <v>328</v>
      </c>
      <c r="H27" s="20" t="s">
        <v>329</v>
      </c>
      <c r="I27" s="18" t="s">
        <v>250</v>
      </c>
      <c r="J27" s="18"/>
      <c r="K27" s="18"/>
      <c r="M27" t="s">
        <v>330</v>
      </c>
      <c r="O27">
        <f>O22-O25</f>
        <v>8</v>
      </c>
      <c r="P27" s="18" t="s">
        <v>327</v>
      </c>
      <c r="Q27" s="18">
        <v>2232.4</v>
      </c>
      <c r="R27" s="18" t="s">
        <v>327</v>
      </c>
      <c r="S27">
        <v>17</v>
      </c>
      <c r="T27">
        <f t="shared" si="0"/>
        <v>15</v>
      </c>
      <c r="U27" s="19">
        <v>2203.33</v>
      </c>
    </row>
    <row r="28" spans="1:21">
      <c r="A28" s="17" t="s">
        <v>313</v>
      </c>
      <c r="B28" s="18" t="s">
        <v>242</v>
      </c>
      <c r="C28" s="18">
        <v>2160</v>
      </c>
      <c r="D28" s="18" t="s">
        <v>263</v>
      </c>
      <c r="E28" s="18" t="s">
        <v>331</v>
      </c>
      <c r="F28" s="18" t="s">
        <v>332</v>
      </c>
      <c r="G28" s="18" t="s">
        <v>333</v>
      </c>
      <c r="H28" s="18" t="s">
        <v>334</v>
      </c>
      <c r="I28" s="18"/>
      <c r="J28" s="18"/>
      <c r="K28" s="18"/>
      <c r="P28" s="18" t="s">
        <v>331</v>
      </c>
      <c r="Q28" s="18">
        <v>2160</v>
      </c>
      <c r="R28" s="18" t="s">
        <v>331</v>
      </c>
      <c r="S28">
        <v>13</v>
      </c>
      <c r="T28">
        <f t="shared" si="0"/>
        <v>14</v>
      </c>
      <c r="U28" s="23">
        <v>2162.67</v>
      </c>
    </row>
    <row r="29" spans="1:21">
      <c r="A29" s="17" t="s">
        <v>313</v>
      </c>
      <c r="B29" s="18" t="s">
        <v>242</v>
      </c>
      <c r="C29" s="18">
        <v>2130.6999999999998</v>
      </c>
      <c r="D29" s="18" t="s">
        <v>263</v>
      </c>
      <c r="E29" s="18" t="s">
        <v>312</v>
      </c>
      <c r="F29" s="18" t="s">
        <v>332</v>
      </c>
      <c r="G29" s="20" t="s">
        <v>335</v>
      </c>
      <c r="H29" s="20" t="s">
        <v>336</v>
      </c>
      <c r="I29" s="18" t="s">
        <v>250</v>
      </c>
      <c r="J29" s="18"/>
      <c r="K29" s="18"/>
      <c r="P29" s="18" t="s">
        <v>312</v>
      </c>
      <c r="Q29" s="18">
        <v>2130.6999999999998</v>
      </c>
      <c r="R29" s="18" t="s">
        <v>312</v>
      </c>
      <c r="S29">
        <v>12</v>
      </c>
      <c r="T29">
        <f t="shared" si="0"/>
        <v>13</v>
      </c>
      <c r="U29" s="23">
        <v>2146.8200000000002</v>
      </c>
    </row>
    <row r="30" spans="1:21">
      <c r="A30" s="21" t="s">
        <v>313</v>
      </c>
      <c r="B30" s="22" t="s">
        <v>242</v>
      </c>
      <c r="C30" s="22">
        <v>2128.1</v>
      </c>
      <c r="D30" s="22" t="s">
        <v>263</v>
      </c>
      <c r="E30" s="22" t="s">
        <v>337</v>
      </c>
      <c r="F30" s="22" t="s">
        <v>332</v>
      </c>
      <c r="G30" s="24" t="s">
        <v>338</v>
      </c>
      <c r="H30" s="24" t="s">
        <v>339</v>
      </c>
      <c r="I30" s="22" t="s">
        <v>250</v>
      </c>
      <c r="J30" s="22"/>
      <c r="K30" s="22"/>
      <c r="P30" s="22" t="s">
        <v>337</v>
      </c>
      <c r="Q30" s="22">
        <v>2128.1</v>
      </c>
      <c r="R30" s="22" t="s">
        <v>337</v>
      </c>
      <c r="S30">
        <v>12</v>
      </c>
      <c r="T30">
        <f t="shared" si="0"/>
        <v>12</v>
      </c>
      <c r="U30" s="23">
        <v>2119.54</v>
      </c>
    </row>
    <row r="31" spans="1:21">
      <c r="A31" s="17" t="s">
        <v>313</v>
      </c>
      <c r="B31" s="18" t="s">
        <v>242</v>
      </c>
      <c r="C31" s="18">
        <v>2127.1999999999998</v>
      </c>
      <c r="D31" s="18" t="s">
        <v>263</v>
      </c>
      <c r="E31" s="18" t="s">
        <v>340</v>
      </c>
      <c r="F31" s="18" t="s">
        <v>332</v>
      </c>
      <c r="G31" s="20" t="s">
        <v>341</v>
      </c>
      <c r="H31" s="20" t="s">
        <v>342</v>
      </c>
      <c r="I31" s="18" t="s">
        <v>250</v>
      </c>
      <c r="J31" s="18"/>
      <c r="K31" s="18"/>
      <c r="P31" s="18" t="s">
        <v>340</v>
      </c>
      <c r="Q31" s="18">
        <v>2127.1999999999998</v>
      </c>
      <c r="R31" s="18" t="s">
        <v>340</v>
      </c>
      <c r="S31">
        <v>12</v>
      </c>
      <c r="T31">
        <f t="shared" si="0"/>
        <v>11</v>
      </c>
      <c r="U31" s="19">
        <v>2095.06</v>
      </c>
    </row>
    <row r="32" spans="1:21">
      <c r="A32" s="17" t="s">
        <v>313</v>
      </c>
      <c r="B32" s="18" t="s">
        <v>242</v>
      </c>
      <c r="C32" s="18">
        <v>2112</v>
      </c>
      <c r="D32" s="18" t="s">
        <v>263</v>
      </c>
      <c r="E32" s="18" t="s">
        <v>343</v>
      </c>
      <c r="F32" s="18" t="s">
        <v>332</v>
      </c>
      <c r="G32" s="20" t="s">
        <v>344</v>
      </c>
      <c r="H32" s="20" t="s">
        <v>345</v>
      </c>
      <c r="I32" s="18" t="s">
        <v>250</v>
      </c>
      <c r="J32" s="18"/>
      <c r="K32" s="18"/>
      <c r="P32" s="18" t="s">
        <v>343</v>
      </c>
      <c r="Q32" s="18">
        <v>2112</v>
      </c>
      <c r="R32" s="18" t="s">
        <v>343</v>
      </c>
      <c r="S32">
        <v>11</v>
      </c>
      <c r="T32">
        <f t="shared" si="0"/>
        <v>10</v>
      </c>
      <c r="U32" s="23">
        <v>2060.42</v>
      </c>
    </row>
    <row r="33" spans="1:21">
      <c r="A33" s="21" t="s">
        <v>313</v>
      </c>
      <c r="B33" s="22" t="s">
        <v>242</v>
      </c>
      <c r="C33" s="22">
        <v>2111.8000000000002</v>
      </c>
      <c r="D33" s="22" t="s">
        <v>263</v>
      </c>
      <c r="E33" s="22" t="s">
        <v>346</v>
      </c>
      <c r="F33" s="22" t="s">
        <v>332</v>
      </c>
      <c r="G33" s="24" t="s">
        <v>347</v>
      </c>
      <c r="H33" s="24" t="s">
        <v>348</v>
      </c>
      <c r="I33" s="22" t="s">
        <v>250</v>
      </c>
      <c r="J33" s="22"/>
      <c r="K33" s="22"/>
      <c r="P33" s="22" t="s">
        <v>346</v>
      </c>
      <c r="Q33" s="22">
        <v>2111.8000000000002</v>
      </c>
      <c r="R33" s="22" t="s">
        <v>346</v>
      </c>
      <c r="S33">
        <v>11</v>
      </c>
      <c r="T33">
        <f t="shared" si="0"/>
        <v>9</v>
      </c>
      <c r="U33" s="19">
        <v>2038.06</v>
      </c>
    </row>
    <row r="34" spans="1:21">
      <c r="A34" s="17" t="s">
        <v>313</v>
      </c>
      <c r="B34" s="18" t="s">
        <v>242</v>
      </c>
      <c r="C34" s="18">
        <v>2057.67</v>
      </c>
      <c r="D34" s="18" t="s">
        <v>263</v>
      </c>
      <c r="E34" s="18" t="s">
        <v>349</v>
      </c>
      <c r="F34" s="18" t="s">
        <v>332</v>
      </c>
      <c r="G34" s="20" t="s">
        <v>350</v>
      </c>
      <c r="H34" s="20" t="s">
        <v>351</v>
      </c>
      <c r="I34" s="18" t="s">
        <v>250</v>
      </c>
      <c r="J34" s="18"/>
      <c r="K34" s="18"/>
      <c r="P34" s="18" t="s">
        <v>349</v>
      </c>
      <c r="Q34" s="18">
        <v>2057.67</v>
      </c>
      <c r="R34" s="18" t="s">
        <v>349</v>
      </c>
      <c r="S34">
        <v>10</v>
      </c>
      <c r="T34">
        <f t="shared" si="0"/>
        <v>8</v>
      </c>
      <c r="U34" s="19">
        <v>1980.11</v>
      </c>
    </row>
    <row r="35" spans="1:21">
      <c r="A35" s="21" t="s">
        <v>313</v>
      </c>
      <c r="B35" s="22" t="s">
        <v>242</v>
      </c>
      <c r="C35" s="22">
        <v>2045</v>
      </c>
      <c r="D35" s="22" t="s">
        <v>263</v>
      </c>
      <c r="E35" s="22" t="s">
        <v>352</v>
      </c>
      <c r="F35" s="22" t="s">
        <v>332</v>
      </c>
      <c r="G35" s="24" t="s">
        <v>353</v>
      </c>
      <c r="H35" s="24" t="s">
        <v>354</v>
      </c>
      <c r="I35" s="22"/>
      <c r="J35" s="22"/>
      <c r="K35" s="22"/>
      <c r="P35" s="22" t="s">
        <v>352</v>
      </c>
      <c r="Q35" s="22">
        <v>2045</v>
      </c>
      <c r="R35" s="22" t="s">
        <v>352</v>
      </c>
      <c r="S35">
        <v>10</v>
      </c>
      <c r="T35">
        <f t="shared" si="0"/>
        <v>7</v>
      </c>
      <c r="U35" s="19">
        <v>1949.2</v>
      </c>
    </row>
    <row r="36" spans="1:21">
      <c r="A36" s="21" t="s">
        <v>313</v>
      </c>
      <c r="B36" s="22" t="s">
        <v>242</v>
      </c>
      <c r="C36" s="22">
        <v>1998</v>
      </c>
      <c r="D36" s="22" t="s">
        <v>267</v>
      </c>
      <c r="E36" s="22" t="s">
        <v>355</v>
      </c>
      <c r="F36" s="22" t="s">
        <v>332</v>
      </c>
      <c r="G36" s="24" t="s">
        <v>356</v>
      </c>
      <c r="H36" s="24" t="s">
        <v>357</v>
      </c>
      <c r="I36" s="22" t="s">
        <v>250</v>
      </c>
      <c r="J36" s="22"/>
      <c r="K36" s="22"/>
      <c r="P36" s="22" t="s">
        <v>355</v>
      </c>
      <c r="Q36" s="22">
        <v>1998</v>
      </c>
      <c r="R36" s="22" t="s">
        <v>355</v>
      </c>
      <c r="S36">
        <v>9</v>
      </c>
      <c r="T36">
        <f t="shared" si="0"/>
        <v>6</v>
      </c>
      <c r="U36" s="19">
        <v>1921.05</v>
      </c>
    </row>
    <row r="37" spans="1:21">
      <c r="A37" s="21" t="s">
        <v>313</v>
      </c>
      <c r="B37" s="22" t="s">
        <v>242</v>
      </c>
      <c r="C37" s="22">
        <v>1972</v>
      </c>
      <c r="D37" s="22" t="s">
        <v>263</v>
      </c>
      <c r="E37" s="22" t="s">
        <v>358</v>
      </c>
      <c r="F37" s="22" t="s">
        <v>332</v>
      </c>
      <c r="G37" s="24" t="s">
        <v>359</v>
      </c>
      <c r="H37" s="24" t="s">
        <v>360</v>
      </c>
      <c r="I37" s="22"/>
      <c r="J37" s="22"/>
      <c r="K37" s="22"/>
      <c r="P37" s="22" t="s">
        <v>358</v>
      </c>
      <c r="Q37" s="22">
        <v>1972</v>
      </c>
      <c r="R37" s="22" t="s">
        <v>358</v>
      </c>
      <c r="S37">
        <v>7</v>
      </c>
      <c r="T37">
        <f t="shared" si="0"/>
        <v>5</v>
      </c>
      <c r="U37" s="23">
        <v>1819.15</v>
      </c>
    </row>
    <row r="38" spans="1:21">
      <c r="A38" s="21" t="s">
        <v>308</v>
      </c>
      <c r="B38" s="22" t="s">
        <v>242</v>
      </c>
      <c r="C38" s="22">
        <v>1943</v>
      </c>
      <c r="D38" s="22" t="s">
        <v>267</v>
      </c>
      <c r="E38" s="22" t="s">
        <v>361</v>
      </c>
      <c r="F38" s="22" t="s">
        <v>332</v>
      </c>
      <c r="G38" s="24" t="s">
        <v>362</v>
      </c>
      <c r="H38" s="24" t="s">
        <v>363</v>
      </c>
      <c r="I38" s="22"/>
      <c r="J38" s="22"/>
      <c r="K38" s="22"/>
      <c r="P38" s="22" t="s">
        <v>361</v>
      </c>
      <c r="Q38" s="22">
        <v>1943</v>
      </c>
      <c r="R38" s="22" t="s">
        <v>361</v>
      </c>
      <c r="S38">
        <v>6</v>
      </c>
      <c r="T38">
        <f t="shared" si="0"/>
        <v>4</v>
      </c>
      <c r="U38" s="19">
        <v>942.95</v>
      </c>
    </row>
    <row r="39" spans="1:21">
      <c r="A39" s="21" t="s">
        <v>313</v>
      </c>
      <c r="B39" s="22" t="s">
        <v>242</v>
      </c>
      <c r="C39" s="22">
        <v>1920.1</v>
      </c>
      <c r="D39" s="22" t="s">
        <v>263</v>
      </c>
      <c r="E39" s="22" t="s">
        <v>364</v>
      </c>
      <c r="F39" s="22" t="s">
        <v>332</v>
      </c>
      <c r="G39" s="25" t="s">
        <v>365</v>
      </c>
      <c r="H39" s="24" t="s">
        <v>366</v>
      </c>
      <c r="I39" s="22" t="s">
        <v>250</v>
      </c>
      <c r="J39" s="22"/>
      <c r="K39" s="22"/>
      <c r="P39" s="22" t="s">
        <v>364</v>
      </c>
      <c r="Q39" s="22">
        <v>1920.1</v>
      </c>
      <c r="R39" s="22" t="s">
        <v>364</v>
      </c>
      <c r="S39">
        <v>5</v>
      </c>
      <c r="T39">
        <f t="shared" si="0"/>
        <v>3</v>
      </c>
      <c r="U39" s="19">
        <v>863.7</v>
      </c>
    </row>
    <row r="40" spans="1:21">
      <c r="A40" s="17" t="s">
        <v>313</v>
      </c>
      <c r="B40" s="18" t="s">
        <v>242</v>
      </c>
      <c r="C40" s="18">
        <v>1918.4</v>
      </c>
      <c r="D40" s="18" t="s">
        <v>263</v>
      </c>
      <c r="E40" s="18" t="s">
        <v>367</v>
      </c>
      <c r="F40" s="18" t="s">
        <v>332</v>
      </c>
      <c r="G40" s="20" t="s">
        <v>368</v>
      </c>
      <c r="H40" s="20" t="s">
        <v>369</v>
      </c>
      <c r="I40" s="18" t="s">
        <v>250</v>
      </c>
      <c r="J40" s="18"/>
      <c r="K40" s="18"/>
      <c r="P40" s="18" t="s">
        <v>367</v>
      </c>
      <c r="Q40" s="18">
        <v>1918.4</v>
      </c>
      <c r="R40" s="18" t="s">
        <v>367</v>
      </c>
      <c r="S40">
        <v>5</v>
      </c>
      <c r="T40">
        <f t="shared" si="0"/>
        <v>2</v>
      </c>
      <c r="U40" s="19">
        <v>59.9</v>
      </c>
    </row>
    <row r="41" spans="1:21">
      <c r="A41" s="21" t="s">
        <v>313</v>
      </c>
      <c r="B41" s="22" t="s">
        <v>242</v>
      </c>
      <c r="C41" s="22">
        <v>1916.7</v>
      </c>
      <c r="D41" s="22" t="s">
        <v>267</v>
      </c>
      <c r="E41" s="22" t="s">
        <v>370</v>
      </c>
      <c r="F41" s="22" t="s">
        <v>332</v>
      </c>
      <c r="G41" s="24" t="s">
        <v>371</v>
      </c>
      <c r="H41" s="24" t="s">
        <v>372</v>
      </c>
      <c r="I41" s="22" t="s">
        <v>250</v>
      </c>
      <c r="J41" s="22"/>
      <c r="K41" s="22"/>
      <c r="P41" s="22" t="s">
        <v>370</v>
      </c>
      <c r="Q41" s="22">
        <v>1916.7</v>
      </c>
      <c r="R41" s="22" t="s">
        <v>370</v>
      </c>
      <c r="S41">
        <v>5</v>
      </c>
      <c r="T41">
        <f t="shared" si="0"/>
        <v>1</v>
      </c>
      <c r="U41" s="19">
        <v>1.6</v>
      </c>
    </row>
    <row r="42" spans="1:21">
      <c r="A42" s="17" t="s">
        <v>313</v>
      </c>
      <c r="B42" s="18" t="s">
        <v>242</v>
      </c>
      <c r="C42" s="18">
        <v>1867</v>
      </c>
      <c r="D42" s="18" t="s">
        <v>267</v>
      </c>
      <c r="E42" s="18" t="s">
        <v>373</v>
      </c>
      <c r="F42" s="18" t="s">
        <v>374</v>
      </c>
      <c r="G42" s="26" t="s">
        <v>375</v>
      </c>
      <c r="H42" s="20" t="s">
        <v>376</v>
      </c>
      <c r="I42" s="18" t="s">
        <v>250</v>
      </c>
      <c r="J42" s="18"/>
      <c r="K42" s="18"/>
      <c r="P42" s="18" t="s">
        <v>373</v>
      </c>
      <c r="Q42" s="18">
        <v>1867</v>
      </c>
      <c r="R42" s="18" t="s">
        <v>373</v>
      </c>
      <c r="S42">
        <v>5</v>
      </c>
    </row>
    <row r="43" spans="1:21">
      <c r="A43" s="17" t="s">
        <v>313</v>
      </c>
      <c r="B43" s="18" t="s">
        <v>242</v>
      </c>
      <c r="C43" s="18">
        <v>1794</v>
      </c>
      <c r="D43" s="18" t="s">
        <v>263</v>
      </c>
      <c r="E43" s="18" t="s">
        <v>377</v>
      </c>
      <c r="F43" s="18" t="s">
        <v>378</v>
      </c>
      <c r="G43" s="20" t="s">
        <v>379</v>
      </c>
      <c r="H43" s="20" t="s">
        <v>380</v>
      </c>
      <c r="I43" s="18" t="s">
        <v>250</v>
      </c>
      <c r="J43" s="18"/>
      <c r="K43" s="18"/>
      <c r="P43" s="18" t="s">
        <v>377</v>
      </c>
      <c r="Q43" s="18">
        <v>1794</v>
      </c>
      <c r="R43" s="18" t="s">
        <v>377</v>
      </c>
      <c r="S43">
        <v>4</v>
      </c>
    </row>
    <row r="44" spans="1:21">
      <c r="A44" s="21" t="s">
        <v>313</v>
      </c>
      <c r="B44" s="22" t="s">
        <v>242</v>
      </c>
      <c r="C44" s="22">
        <v>1767</v>
      </c>
      <c r="D44" s="22" t="s">
        <v>263</v>
      </c>
      <c r="E44" s="22" t="s">
        <v>381</v>
      </c>
      <c r="F44" s="22" t="s">
        <v>378</v>
      </c>
      <c r="G44" s="24" t="s">
        <v>382</v>
      </c>
      <c r="H44" s="24" t="s">
        <v>383</v>
      </c>
      <c r="I44" s="22"/>
      <c r="J44" s="22"/>
      <c r="K44" s="22"/>
      <c r="P44" s="22" t="s">
        <v>381</v>
      </c>
      <c r="Q44" s="22">
        <v>1767</v>
      </c>
      <c r="R44" s="22" t="s">
        <v>381</v>
      </c>
      <c r="S44">
        <v>4</v>
      </c>
    </row>
    <row r="45" spans="1:21">
      <c r="A45" s="17" t="s">
        <v>313</v>
      </c>
      <c r="B45" s="18" t="s">
        <v>242</v>
      </c>
      <c r="C45" s="18">
        <v>1760</v>
      </c>
      <c r="D45" s="18" t="s">
        <v>267</v>
      </c>
      <c r="E45" s="18" t="s">
        <v>384</v>
      </c>
      <c r="F45" s="18" t="s">
        <v>374</v>
      </c>
      <c r="G45" s="20" t="s">
        <v>385</v>
      </c>
      <c r="H45" s="20" t="s">
        <v>386</v>
      </c>
      <c r="I45" s="18"/>
      <c r="J45" s="18"/>
      <c r="K45" s="18"/>
      <c r="P45" s="18" t="s">
        <v>384</v>
      </c>
      <c r="Q45" s="18">
        <v>1760</v>
      </c>
      <c r="R45" s="18" t="s">
        <v>384</v>
      </c>
      <c r="S45">
        <v>4</v>
      </c>
    </row>
    <row r="46" spans="1:21">
      <c r="A46" s="21" t="s">
        <v>313</v>
      </c>
      <c r="B46" s="22" t="s">
        <v>242</v>
      </c>
      <c r="C46" s="22">
        <v>1735</v>
      </c>
      <c r="D46" s="22" t="s">
        <v>263</v>
      </c>
      <c r="E46" s="22" t="s">
        <v>387</v>
      </c>
      <c r="F46" s="22" t="s">
        <v>378</v>
      </c>
      <c r="G46" s="24" t="s">
        <v>388</v>
      </c>
      <c r="H46" s="24" t="s">
        <v>389</v>
      </c>
      <c r="I46" s="22"/>
      <c r="J46" s="22"/>
      <c r="K46" s="22"/>
      <c r="P46" s="22" t="s">
        <v>387</v>
      </c>
      <c r="Q46" s="22">
        <v>1735</v>
      </c>
      <c r="R46" s="22" t="s">
        <v>387</v>
      </c>
      <c r="S46">
        <v>4</v>
      </c>
    </row>
    <row r="47" spans="1:21">
      <c r="A47" s="17" t="s">
        <v>313</v>
      </c>
      <c r="B47" s="18" t="s">
        <v>242</v>
      </c>
      <c r="C47" s="18">
        <v>1722</v>
      </c>
      <c r="D47" s="18" t="s">
        <v>267</v>
      </c>
      <c r="E47" s="18" t="s">
        <v>390</v>
      </c>
      <c r="F47" s="18" t="s">
        <v>374</v>
      </c>
      <c r="G47" s="20" t="s">
        <v>391</v>
      </c>
      <c r="H47" s="20" t="s">
        <v>392</v>
      </c>
      <c r="I47" s="18"/>
      <c r="J47" s="18"/>
      <c r="K47" s="18"/>
      <c r="P47" s="18" t="s">
        <v>390</v>
      </c>
      <c r="Q47" s="18">
        <v>1722</v>
      </c>
      <c r="R47" s="18" t="s">
        <v>390</v>
      </c>
      <c r="S47">
        <v>4</v>
      </c>
    </row>
    <row r="48" spans="1:21">
      <c r="A48" s="21" t="s">
        <v>313</v>
      </c>
      <c r="B48" s="22" t="s">
        <v>242</v>
      </c>
      <c r="C48" s="22">
        <v>1640</v>
      </c>
      <c r="D48" s="22" t="s">
        <v>267</v>
      </c>
      <c r="E48" s="22" t="s">
        <v>393</v>
      </c>
      <c r="F48" s="22" t="s">
        <v>378</v>
      </c>
      <c r="G48" s="24" t="s">
        <v>394</v>
      </c>
      <c r="H48" s="24" t="s">
        <v>395</v>
      </c>
      <c r="I48" s="22" t="s">
        <v>250</v>
      </c>
      <c r="J48" s="22"/>
      <c r="K48" s="22"/>
      <c r="P48" s="22" t="s">
        <v>393</v>
      </c>
      <c r="Q48" s="22">
        <v>1640</v>
      </c>
      <c r="R48" s="22" t="s">
        <v>393</v>
      </c>
      <c r="S48">
        <v>4</v>
      </c>
    </row>
    <row r="49" spans="1:19">
      <c r="A49" s="17" t="s">
        <v>308</v>
      </c>
      <c r="B49" s="18" t="s">
        <v>242</v>
      </c>
      <c r="C49" s="18">
        <v>1618</v>
      </c>
      <c r="D49" s="18" t="s">
        <v>263</v>
      </c>
      <c r="E49" s="18" t="s">
        <v>396</v>
      </c>
      <c r="F49" s="18" t="s">
        <v>378</v>
      </c>
      <c r="G49" s="20" t="s">
        <v>397</v>
      </c>
      <c r="H49" s="20" t="s">
        <v>398</v>
      </c>
      <c r="I49" s="18"/>
      <c r="J49" s="18"/>
      <c r="K49" s="18"/>
      <c r="P49" s="18" t="s">
        <v>396</v>
      </c>
      <c r="Q49" s="18">
        <v>1618</v>
      </c>
      <c r="R49" s="18" t="s">
        <v>396</v>
      </c>
      <c r="S49">
        <v>4</v>
      </c>
    </row>
    <row r="50" spans="1:19">
      <c r="A50" s="21" t="s">
        <v>313</v>
      </c>
      <c r="B50" s="22" t="s">
        <v>242</v>
      </c>
      <c r="C50" s="22">
        <v>1597</v>
      </c>
      <c r="D50" s="22" t="s">
        <v>263</v>
      </c>
      <c r="E50" s="22" t="s">
        <v>399</v>
      </c>
      <c r="F50" s="22" t="s">
        <v>378</v>
      </c>
      <c r="G50" s="24" t="s">
        <v>400</v>
      </c>
      <c r="H50" s="24" t="s">
        <v>401</v>
      </c>
      <c r="I50" s="22"/>
      <c r="J50" s="22"/>
      <c r="K50" s="22"/>
      <c r="P50" s="22" t="s">
        <v>399</v>
      </c>
      <c r="Q50" s="22">
        <v>1597</v>
      </c>
      <c r="R50" s="22" t="s">
        <v>399</v>
      </c>
      <c r="S50">
        <v>4</v>
      </c>
    </row>
    <row r="51" spans="1:19">
      <c r="A51" s="17" t="s">
        <v>313</v>
      </c>
      <c r="B51" s="18" t="s">
        <v>242</v>
      </c>
      <c r="C51" s="18">
        <v>1579</v>
      </c>
      <c r="D51" s="18" t="s">
        <v>263</v>
      </c>
      <c r="E51" s="18" t="s">
        <v>402</v>
      </c>
      <c r="F51" s="18" t="s">
        <v>378</v>
      </c>
      <c r="G51" s="20" t="s">
        <v>403</v>
      </c>
      <c r="H51" s="20" t="s">
        <v>404</v>
      </c>
      <c r="I51" s="18"/>
      <c r="J51" s="18"/>
      <c r="K51" s="18"/>
      <c r="P51" s="18" t="s">
        <v>402</v>
      </c>
      <c r="Q51" s="18">
        <v>1579</v>
      </c>
      <c r="R51" s="18" t="s">
        <v>402</v>
      </c>
      <c r="S51">
        <v>4</v>
      </c>
    </row>
    <row r="52" spans="1:19">
      <c r="A52" s="21" t="s">
        <v>308</v>
      </c>
      <c r="B52" s="22" t="s">
        <v>242</v>
      </c>
      <c r="C52" s="22">
        <v>1572</v>
      </c>
      <c r="D52" s="22" t="s">
        <v>267</v>
      </c>
      <c r="E52" s="22" t="s">
        <v>323</v>
      </c>
      <c r="F52" s="22" t="s">
        <v>378</v>
      </c>
      <c r="G52" s="24" t="s">
        <v>405</v>
      </c>
      <c r="H52" s="24" t="s">
        <v>406</v>
      </c>
      <c r="I52" s="22"/>
      <c r="J52" s="22"/>
      <c r="K52" s="22"/>
      <c r="P52" s="22" t="s">
        <v>323</v>
      </c>
      <c r="Q52" s="22">
        <v>1572</v>
      </c>
      <c r="R52" s="22" t="s">
        <v>323</v>
      </c>
      <c r="S52">
        <v>4</v>
      </c>
    </row>
    <row r="53" spans="1:19">
      <c r="A53" s="17" t="s">
        <v>308</v>
      </c>
      <c r="B53" s="18" t="s">
        <v>242</v>
      </c>
      <c r="C53" s="18">
        <v>1563</v>
      </c>
      <c r="D53" s="18" t="s">
        <v>267</v>
      </c>
      <c r="E53" s="18" t="s">
        <v>407</v>
      </c>
      <c r="F53" s="18" t="s">
        <v>378</v>
      </c>
      <c r="G53" s="20" t="s">
        <v>408</v>
      </c>
      <c r="H53" s="20" t="s">
        <v>409</v>
      </c>
      <c r="I53" s="18"/>
      <c r="J53" s="18"/>
      <c r="K53" s="18"/>
      <c r="P53" s="18" t="s">
        <v>407</v>
      </c>
      <c r="Q53" s="18">
        <v>1563</v>
      </c>
      <c r="R53" s="18" t="s">
        <v>407</v>
      </c>
      <c r="S53">
        <v>4</v>
      </c>
    </row>
    <row r="54" spans="1:19">
      <c r="A54" s="21" t="s">
        <v>308</v>
      </c>
      <c r="B54" s="22" t="s">
        <v>242</v>
      </c>
      <c r="C54" s="22">
        <v>1528</v>
      </c>
      <c r="D54" s="22" t="s">
        <v>263</v>
      </c>
      <c r="E54" s="22" t="s">
        <v>410</v>
      </c>
      <c r="F54" s="22" t="s">
        <v>378</v>
      </c>
      <c r="G54" s="24" t="s">
        <v>411</v>
      </c>
      <c r="H54" s="24" t="s">
        <v>412</v>
      </c>
      <c r="I54" s="22"/>
      <c r="J54" s="22"/>
      <c r="K54" s="22"/>
      <c r="P54" s="22" t="s">
        <v>410</v>
      </c>
      <c r="Q54" s="22">
        <v>1528</v>
      </c>
      <c r="R54" s="22" t="s">
        <v>410</v>
      </c>
      <c r="S54">
        <v>4</v>
      </c>
    </row>
    <row r="55" spans="1:19">
      <c r="A55" s="17" t="s">
        <v>308</v>
      </c>
      <c r="B55" s="18" t="s">
        <v>242</v>
      </c>
      <c r="C55" s="18">
        <v>1521</v>
      </c>
      <c r="D55" s="18" t="s">
        <v>267</v>
      </c>
      <c r="E55" s="18" t="s">
        <v>413</v>
      </c>
      <c r="F55" s="18" t="s">
        <v>378</v>
      </c>
      <c r="G55" s="20" t="s">
        <v>414</v>
      </c>
      <c r="H55" s="20" t="s">
        <v>415</v>
      </c>
      <c r="I55" s="18"/>
      <c r="J55" s="18"/>
      <c r="K55" s="18"/>
      <c r="P55" s="18" t="s">
        <v>413</v>
      </c>
      <c r="Q55" s="18">
        <v>1521</v>
      </c>
      <c r="R55" s="18" t="s">
        <v>413</v>
      </c>
      <c r="S55">
        <v>4</v>
      </c>
    </row>
    <row r="56" spans="1:19">
      <c r="A56" s="21" t="s">
        <v>313</v>
      </c>
      <c r="B56" s="22" t="s">
        <v>242</v>
      </c>
      <c r="C56" s="22">
        <v>1520.9449999999999</v>
      </c>
      <c r="D56" s="22" t="s">
        <v>267</v>
      </c>
      <c r="E56" s="27" t="s">
        <v>416</v>
      </c>
      <c r="F56" s="22" t="s">
        <v>378</v>
      </c>
      <c r="G56" s="24" t="s">
        <v>417</v>
      </c>
      <c r="H56" s="24" t="s">
        <v>418</v>
      </c>
      <c r="I56" s="22"/>
      <c r="J56" s="22"/>
      <c r="K56" s="22"/>
      <c r="P56" s="27" t="s">
        <v>416</v>
      </c>
      <c r="Q56" s="22">
        <v>1520.9449999999999</v>
      </c>
      <c r="R56" s="27" t="s">
        <v>416</v>
      </c>
      <c r="S56">
        <v>4</v>
      </c>
    </row>
    <row r="57" spans="1:19">
      <c r="A57" s="17" t="s">
        <v>308</v>
      </c>
      <c r="B57" s="18" t="s">
        <v>242</v>
      </c>
      <c r="C57" s="18">
        <v>1503</v>
      </c>
      <c r="D57" s="18" t="s">
        <v>263</v>
      </c>
      <c r="E57" s="18" t="s">
        <v>419</v>
      </c>
      <c r="F57" s="18" t="s">
        <v>378</v>
      </c>
      <c r="G57" s="20" t="s">
        <v>420</v>
      </c>
      <c r="H57" s="20" t="s">
        <v>421</v>
      </c>
      <c r="I57" s="18"/>
      <c r="J57" s="18"/>
      <c r="K57" s="18"/>
      <c r="P57" s="18" t="s">
        <v>419</v>
      </c>
      <c r="Q57" s="18">
        <v>1503</v>
      </c>
      <c r="R57" s="18" t="s">
        <v>419</v>
      </c>
      <c r="S57">
        <v>4</v>
      </c>
    </row>
    <row r="58" spans="1:19">
      <c r="A58" s="21" t="s">
        <v>313</v>
      </c>
      <c r="B58" s="22" t="s">
        <v>242</v>
      </c>
      <c r="C58" s="22">
        <v>1479</v>
      </c>
      <c r="D58" s="22" t="s">
        <v>267</v>
      </c>
      <c r="E58" s="22" t="s">
        <v>422</v>
      </c>
      <c r="F58" s="22" t="s">
        <v>378</v>
      </c>
      <c r="G58" s="24" t="s">
        <v>423</v>
      </c>
      <c r="H58" s="24" t="s">
        <v>424</v>
      </c>
      <c r="I58" s="22" t="s">
        <v>250</v>
      </c>
      <c r="J58" s="22"/>
      <c r="K58" s="22"/>
      <c r="P58" s="22" t="s">
        <v>422</v>
      </c>
      <c r="Q58" s="22">
        <v>1479</v>
      </c>
      <c r="R58" s="22" t="s">
        <v>422</v>
      </c>
      <c r="S58">
        <v>4</v>
      </c>
    </row>
    <row r="59" spans="1:19">
      <c r="A59" s="17" t="s">
        <v>313</v>
      </c>
      <c r="B59" s="18" t="s">
        <v>242</v>
      </c>
      <c r="C59" s="18">
        <v>1450</v>
      </c>
      <c r="D59" s="18" t="s">
        <v>263</v>
      </c>
      <c r="E59" s="18" t="s">
        <v>425</v>
      </c>
      <c r="F59" s="18" t="s">
        <v>378</v>
      </c>
      <c r="G59" s="20" t="s">
        <v>426</v>
      </c>
      <c r="H59" s="20" t="s">
        <v>427</v>
      </c>
      <c r="I59" s="18"/>
      <c r="J59" s="18"/>
      <c r="K59" s="18"/>
      <c r="P59" s="18" t="s">
        <v>425</v>
      </c>
      <c r="Q59" s="18">
        <v>1450</v>
      </c>
      <c r="R59" s="18" t="s">
        <v>425</v>
      </c>
      <c r="S59">
        <v>4</v>
      </c>
    </row>
    <row r="60" spans="1:19">
      <c r="A60" s="21" t="s">
        <v>308</v>
      </c>
      <c r="B60" s="22" t="s">
        <v>242</v>
      </c>
      <c r="C60" s="22">
        <v>1401</v>
      </c>
      <c r="D60" s="22" t="s">
        <v>267</v>
      </c>
      <c r="E60" s="22" t="s">
        <v>428</v>
      </c>
      <c r="F60" s="22" t="s">
        <v>429</v>
      </c>
      <c r="G60" s="24" t="s">
        <v>430</v>
      </c>
      <c r="H60" s="24" t="s">
        <v>431</v>
      </c>
      <c r="I60" s="22"/>
      <c r="J60" s="22"/>
      <c r="K60" s="22"/>
      <c r="P60" s="22" t="s">
        <v>428</v>
      </c>
      <c r="Q60" s="22">
        <v>1401</v>
      </c>
      <c r="R60" s="22" t="s">
        <v>428</v>
      </c>
      <c r="S60">
        <v>4</v>
      </c>
    </row>
    <row r="61" spans="1:19">
      <c r="A61" s="17" t="s">
        <v>308</v>
      </c>
      <c r="B61" s="18" t="s">
        <v>242</v>
      </c>
      <c r="C61" s="18">
        <v>1366</v>
      </c>
      <c r="D61" s="18" t="s">
        <v>267</v>
      </c>
      <c r="E61" s="18" t="s">
        <v>432</v>
      </c>
      <c r="F61" s="18" t="s">
        <v>433</v>
      </c>
      <c r="G61" s="20" t="s">
        <v>434</v>
      </c>
      <c r="H61" s="20" t="s">
        <v>435</v>
      </c>
      <c r="I61" s="18"/>
      <c r="J61" s="18"/>
      <c r="K61" s="18"/>
      <c r="P61" s="18" t="s">
        <v>432</v>
      </c>
      <c r="Q61" s="18">
        <v>1366</v>
      </c>
      <c r="R61" s="18" t="s">
        <v>432</v>
      </c>
      <c r="S61">
        <v>4</v>
      </c>
    </row>
    <row r="62" spans="1:19">
      <c r="A62" s="21" t="s">
        <v>313</v>
      </c>
      <c r="B62" s="22" t="s">
        <v>242</v>
      </c>
      <c r="C62" s="22">
        <v>1335</v>
      </c>
      <c r="D62" s="22" t="s">
        <v>263</v>
      </c>
      <c r="E62" s="22" t="s">
        <v>436</v>
      </c>
      <c r="F62" s="22" t="s">
        <v>433</v>
      </c>
      <c r="G62" s="24" t="s">
        <v>437</v>
      </c>
      <c r="H62" s="24" t="s">
        <v>438</v>
      </c>
      <c r="I62" s="22" t="s">
        <v>250</v>
      </c>
      <c r="J62" s="22"/>
      <c r="K62" s="22"/>
      <c r="P62" s="22" t="s">
        <v>436</v>
      </c>
      <c r="Q62" s="22">
        <v>1335</v>
      </c>
      <c r="R62" s="22" t="s">
        <v>436</v>
      </c>
      <c r="S62">
        <v>4</v>
      </c>
    </row>
    <row r="63" spans="1:19">
      <c r="A63" s="17" t="s">
        <v>308</v>
      </c>
      <c r="B63" s="18" t="s">
        <v>242</v>
      </c>
      <c r="C63" s="18">
        <v>1295</v>
      </c>
      <c r="D63" s="18" t="s">
        <v>267</v>
      </c>
      <c r="E63" s="18" t="s">
        <v>439</v>
      </c>
      <c r="F63" s="18" t="s">
        <v>429</v>
      </c>
      <c r="G63" s="20" t="s">
        <v>440</v>
      </c>
      <c r="H63" s="20" t="s">
        <v>441</v>
      </c>
      <c r="I63" s="18"/>
      <c r="J63" s="18"/>
      <c r="K63" s="18"/>
      <c r="P63" s="18" t="s">
        <v>439</v>
      </c>
      <c r="Q63" s="18">
        <v>1295</v>
      </c>
      <c r="R63" s="18" t="s">
        <v>439</v>
      </c>
      <c r="S63">
        <v>4</v>
      </c>
    </row>
    <row r="64" spans="1:19">
      <c r="A64" s="21" t="s">
        <v>308</v>
      </c>
      <c r="B64" s="22" t="s">
        <v>242</v>
      </c>
      <c r="C64" s="22">
        <v>1270</v>
      </c>
      <c r="D64" s="22" t="s">
        <v>263</v>
      </c>
      <c r="E64" s="22" t="s">
        <v>442</v>
      </c>
      <c r="F64" s="22" t="s">
        <v>429</v>
      </c>
      <c r="G64" s="24" t="s">
        <v>443</v>
      </c>
      <c r="H64" s="24" t="s">
        <v>444</v>
      </c>
      <c r="I64" s="22"/>
      <c r="J64" s="22"/>
      <c r="K64" s="22"/>
      <c r="P64" s="22" t="s">
        <v>442</v>
      </c>
      <c r="Q64" s="22">
        <v>1270</v>
      </c>
      <c r="R64" s="22" t="s">
        <v>442</v>
      </c>
      <c r="S64">
        <v>4</v>
      </c>
    </row>
    <row r="65" spans="1:19">
      <c r="A65" s="17" t="s">
        <v>308</v>
      </c>
      <c r="B65" s="18" t="s">
        <v>242</v>
      </c>
      <c r="C65" s="18">
        <v>1254</v>
      </c>
      <c r="D65" s="18" t="s">
        <v>267</v>
      </c>
      <c r="E65" s="18" t="s">
        <v>445</v>
      </c>
      <c r="F65" s="18" t="s">
        <v>429</v>
      </c>
      <c r="G65" s="20" t="s">
        <v>446</v>
      </c>
      <c r="H65" s="20" t="s">
        <v>447</v>
      </c>
      <c r="I65" s="18" t="s">
        <v>250</v>
      </c>
      <c r="J65" s="18"/>
      <c r="K65" s="18"/>
      <c r="P65" s="18" t="s">
        <v>445</v>
      </c>
      <c r="Q65" s="18">
        <v>1254</v>
      </c>
      <c r="R65" s="18" t="s">
        <v>445</v>
      </c>
      <c r="S65">
        <v>4</v>
      </c>
    </row>
    <row r="66" spans="1:19">
      <c r="A66" s="21" t="s">
        <v>313</v>
      </c>
      <c r="B66" s="22" t="s">
        <v>242</v>
      </c>
      <c r="C66" s="22">
        <v>1168</v>
      </c>
      <c r="D66" s="22" t="s">
        <v>263</v>
      </c>
      <c r="E66" s="22" t="s">
        <v>448</v>
      </c>
      <c r="F66" s="22" t="s">
        <v>429</v>
      </c>
      <c r="G66" s="24" t="s">
        <v>449</v>
      </c>
      <c r="H66" s="24" t="s">
        <v>450</v>
      </c>
      <c r="I66" s="22" t="s">
        <v>250</v>
      </c>
      <c r="J66" s="22"/>
      <c r="K66" s="22"/>
      <c r="P66" s="22" t="s">
        <v>448</v>
      </c>
      <c r="Q66" s="22">
        <v>1168</v>
      </c>
      <c r="R66" s="22" t="s">
        <v>448</v>
      </c>
      <c r="S66">
        <v>4</v>
      </c>
    </row>
    <row r="67" spans="1:19">
      <c r="A67" s="17" t="s">
        <v>313</v>
      </c>
      <c r="B67" s="18" t="s">
        <v>242</v>
      </c>
      <c r="C67" s="18">
        <v>1153</v>
      </c>
      <c r="D67" s="18" t="s">
        <v>267</v>
      </c>
      <c r="E67" s="18" t="s">
        <v>451</v>
      </c>
      <c r="F67" s="18" t="s">
        <v>429</v>
      </c>
      <c r="G67" s="20" t="s">
        <v>452</v>
      </c>
      <c r="H67" s="20" t="s">
        <v>453</v>
      </c>
      <c r="I67" s="18" t="s">
        <v>250</v>
      </c>
      <c r="J67" s="18"/>
      <c r="K67" s="18"/>
      <c r="P67" s="18" t="s">
        <v>451</v>
      </c>
      <c r="Q67" s="18">
        <v>1153</v>
      </c>
      <c r="R67" s="18" t="s">
        <v>451</v>
      </c>
      <c r="S67">
        <v>4</v>
      </c>
    </row>
    <row r="68" spans="1:19">
      <c r="A68" s="21" t="s">
        <v>313</v>
      </c>
      <c r="B68" s="22" t="s">
        <v>242</v>
      </c>
      <c r="C68" s="22">
        <v>1111</v>
      </c>
      <c r="D68" s="22" t="s">
        <v>263</v>
      </c>
      <c r="E68" s="22" t="s">
        <v>454</v>
      </c>
      <c r="F68" s="22" t="s">
        <v>429</v>
      </c>
      <c r="G68" s="24" t="s">
        <v>455</v>
      </c>
      <c r="H68" s="24" t="s">
        <v>456</v>
      </c>
      <c r="I68" s="22"/>
      <c r="J68" s="22"/>
      <c r="K68" s="22"/>
      <c r="P68" s="22" t="s">
        <v>454</v>
      </c>
      <c r="Q68" s="22">
        <v>1111</v>
      </c>
      <c r="R68" s="22" t="s">
        <v>454</v>
      </c>
      <c r="S68">
        <v>4</v>
      </c>
    </row>
    <row r="69" spans="1:19">
      <c r="A69" s="17" t="s">
        <v>308</v>
      </c>
      <c r="B69" s="18" t="s">
        <v>242</v>
      </c>
      <c r="C69" s="18">
        <v>1050</v>
      </c>
      <c r="D69" s="18" t="s">
        <v>267</v>
      </c>
      <c r="E69" s="18" t="s">
        <v>457</v>
      </c>
      <c r="F69" s="18" t="s">
        <v>458</v>
      </c>
      <c r="G69" s="20" t="s">
        <v>459</v>
      </c>
      <c r="H69" s="20" t="s">
        <v>460</v>
      </c>
      <c r="I69" s="18"/>
      <c r="J69" s="18"/>
      <c r="K69" s="18"/>
      <c r="P69" s="18" t="s">
        <v>457</v>
      </c>
      <c r="Q69" s="18">
        <v>1050</v>
      </c>
      <c r="R69" s="18" t="s">
        <v>457</v>
      </c>
      <c r="S69">
        <v>4</v>
      </c>
    </row>
    <row r="70" spans="1:19">
      <c r="A70" s="21" t="s">
        <v>308</v>
      </c>
      <c r="B70" s="22" t="s">
        <v>242</v>
      </c>
      <c r="C70" s="22">
        <v>953</v>
      </c>
      <c r="D70" s="22" t="s">
        <v>267</v>
      </c>
      <c r="E70" s="22" t="s">
        <v>461</v>
      </c>
      <c r="F70" s="22" t="s">
        <v>458</v>
      </c>
      <c r="G70" s="24" t="s">
        <v>462</v>
      </c>
      <c r="H70" s="24" t="s">
        <v>463</v>
      </c>
      <c r="I70" s="22"/>
      <c r="J70" s="22"/>
      <c r="K70" s="22"/>
      <c r="P70" s="22" t="s">
        <v>461</v>
      </c>
      <c r="Q70" s="22">
        <v>953</v>
      </c>
      <c r="R70" s="22" t="s">
        <v>461</v>
      </c>
      <c r="S70">
        <v>4</v>
      </c>
    </row>
    <row r="71" spans="1:19">
      <c r="A71" s="21" t="s">
        <v>313</v>
      </c>
      <c r="B71" s="22" t="s">
        <v>242</v>
      </c>
      <c r="C71" s="22">
        <v>927</v>
      </c>
      <c r="D71" s="22" t="s">
        <v>267</v>
      </c>
      <c r="E71" s="22" t="s">
        <v>464</v>
      </c>
      <c r="F71" s="22" t="s">
        <v>458</v>
      </c>
      <c r="G71" s="24" t="s">
        <v>465</v>
      </c>
      <c r="H71" s="24" t="s">
        <v>466</v>
      </c>
      <c r="I71" s="22"/>
      <c r="J71" s="22"/>
      <c r="K71" s="22"/>
      <c r="P71" s="22" t="s">
        <v>464</v>
      </c>
      <c r="Q71" s="22">
        <v>927</v>
      </c>
      <c r="R71" s="22" t="s">
        <v>464</v>
      </c>
      <c r="S71">
        <v>3</v>
      </c>
    </row>
    <row r="72" spans="1:19">
      <c r="A72" s="21" t="s">
        <v>313</v>
      </c>
      <c r="B72" s="22" t="s">
        <v>242</v>
      </c>
      <c r="C72" s="22">
        <v>861</v>
      </c>
      <c r="D72" s="22" t="s">
        <v>263</v>
      </c>
      <c r="E72" s="22" t="s">
        <v>467</v>
      </c>
      <c r="F72" s="22" t="s">
        <v>429</v>
      </c>
      <c r="G72" s="24" t="s">
        <v>468</v>
      </c>
      <c r="H72" s="24" t="s">
        <v>469</v>
      </c>
      <c r="I72" s="22" t="s">
        <v>250</v>
      </c>
      <c r="J72" s="22"/>
      <c r="K72" s="22"/>
      <c r="P72" s="22" t="s">
        <v>467</v>
      </c>
      <c r="Q72" s="22">
        <v>861</v>
      </c>
      <c r="R72" s="22" t="s">
        <v>467</v>
      </c>
      <c r="S72">
        <v>2</v>
      </c>
    </row>
    <row r="73" spans="1:19">
      <c r="A73" s="17" t="s">
        <v>308</v>
      </c>
      <c r="B73" s="18" t="s">
        <v>242</v>
      </c>
      <c r="C73" s="18">
        <v>795</v>
      </c>
      <c r="D73" s="18" t="s">
        <v>267</v>
      </c>
      <c r="E73" s="18" t="s">
        <v>470</v>
      </c>
      <c r="F73" s="18" t="s">
        <v>458</v>
      </c>
      <c r="G73" s="20" t="s">
        <v>471</v>
      </c>
      <c r="H73" s="20" t="s">
        <v>472</v>
      </c>
      <c r="I73" s="18"/>
      <c r="J73" s="18"/>
      <c r="K73" s="18"/>
      <c r="P73" s="18" t="s">
        <v>470</v>
      </c>
      <c r="Q73" s="18">
        <v>795</v>
      </c>
      <c r="R73" s="18" t="s">
        <v>470</v>
      </c>
      <c r="S73">
        <v>2</v>
      </c>
    </row>
    <row r="74" spans="1:19">
      <c r="A74" s="21" t="s">
        <v>308</v>
      </c>
      <c r="B74" s="22" t="s">
        <v>242</v>
      </c>
      <c r="C74" s="22">
        <v>785</v>
      </c>
      <c r="D74" s="22" t="s">
        <v>263</v>
      </c>
      <c r="E74" s="22" t="s">
        <v>473</v>
      </c>
      <c r="F74" s="22" t="s">
        <v>474</v>
      </c>
      <c r="G74" s="22" t="s">
        <v>475</v>
      </c>
      <c r="H74" s="24" t="s">
        <v>476</v>
      </c>
      <c r="I74" s="22"/>
      <c r="J74" s="22"/>
      <c r="K74" s="22"/>
      <c r="P74" s="22" t="s">
        <v>473</v>
      </c>
      <c r="Q74" s="22">
        <v>785</v>
      </c>
      <c r="R74" s="22" t="s">
        <v>473</v>
      </c>
      <c r="S74">
        <v>2</v>
      </c>
    </row>
    <row r="75" spans="1:19">
      <c r="A75" s="17" t="s">
        <v>313</v>
      </c>
      <c r="B75" s="18" t="s">
        <v>242</v>
      </c>
      <c r="C75" s="18">
        <v>742</v>
      </c>
      <c r="D75" s="18" t="s">
        <v>263</v>
      </c>
      <c r="E75" s="18" t="s">
        <v>477</v>
      </c>
      <c r="F75" s="18" t="s">
        <v>474</v>
      </c>
      <c r="G75" s="18" t="s">
        <v>478</v>
      </c>
      <c r="H75" s="18" t="s">
        <v>479</v>
      </c>
      <c r="I75" s="18"/>
      <c r="J75" s="18"/>
      <c r="K75" s="18"/>
      <c r="P75" s="18" t="s">
        <v>477</v>
      </c>
      <c r="Q75" s="18">
        <v>742</v>
      </c>
      <c r="R75" s="18" t="s">
        <v>477</v>
      </c>
      <c r="S75">
        <v>2</v>
      </c>
    </row>
    <row r="76" spans="1:19">
      <c r="A76" s="21" t="s">
        <v>308</v>
      </c>
      <c r="B76" s="22" t="s">
        <v>242</v>
      </c>
      <c r="C76" s="22">
        <v>679</v>
      </c>
      <c r="D76" s="22" t="s">
        <v>267</v>
      </c>
      <c r="E76" s="22" t="s">
        <v>480</v>
      </c>
      <c r="F76" s="22" t="s">
        <v>458</v>
      </c>
      <c r="G76" s="24" t="s">
        <v>481</v>
      </c>
      <c r="H76" s="24" t="s">
        <v>482</v>
      </c>
      <c r="I76" s="22"/>
      <c r="J76" s="22"/>
      <c r="K76" s="22"/>
      <c r="P76" s="22" t="s">
        <v>480</v>
      </c>
      <c r="Q76" s="22">
        <v>679</v>
      </c>
      <c r="R76" s="22" t="s">
        <v>480</v>
      </c>
      <c r="S76">
        <v>2</v>
      </c>
    </row>
    <row r="77" spans="1:19">
      <c r="A77" s="17" t="s">
        <v>308</v>
      </c>
      <c r="B77" s="18" t="s">
        <v>242</v>
      </c>
      <c r="C77" s="18">
        <v>679</v>
      </c>
      <c r="D77" s="18" t="s">
        <v>267</v>
      </c>
      <c r="E77" s="28" t="s">
        <v>483</v>
      </c>
      <c r="F77" s="18" t="s">
        <v>458</v>
      </c>
      <c r="G77" s="20" t="s">
        <v>484</v>
      </c>
      <c r="H77" s="20" t="s">
        <v>485</v>
      </c>
      <c r="I77" s="18"/>
      <c r="J77" s="18"/>
      <c r="K77" s="18"/>
      <c r="P77" s="28" t="s">
        <v>483</v>
      </c>
      <c r="Q77" s="18">
        <v>679</v>
      </c>
      <c r="R77" s="28" t="s">
        <v>483</v>
      </c>
      <c r="S77">
        <v>2</v>
      </c>
    </row>
    <row r="78" spans="1:19">
      <c r="A78" s="21" t="s">
        <v>308</v>
      </c>
      <c r="B78" s="22" t="s">
        <v>242</v>
      </c>
      <c r="C78" s="22">
        <v>678</v>
      </c>
      <c r="D78" s="22" t="s">
        <v>263</v>
      </c>
      <c r="E78" s="22" t="s">
        <v>486</v>
      </c>
      <c r="F78" s="22" t="s">
        <v>474</v>
      </c>
      <c r="G78" s="22" t="s">
        <v>487</v>
      </c>
      <c r="H78" s="22" t="s">
        <v>488</v>
      </c>
      <c r="I78" s="22"/>
      <c r="J78" s="22"/>
      <c r="K78" s="22"/>
      <c r="P78" s="22" t="s">
        <v>486</v>
      </c>
      <c r="Q78" s="22">
        <v>678</v>
      </c>
      <c r="R78" s="22" t="s">
        <v>486</v>
      </c>
      <c r="S78">
        <v>2</v>
      </c>
    </row>
    <row r="79" spans="1:19">
      <c r="A79" s="17" t="s">
        <v>308</v>
      </c>
      <c r="B79" s="18" t="s">
        <v>242</v>
      </c>
      <c r="C79" s="18">
        <v>627.6</v>
      </c>
      <c r="D79" s="18" t="s">
        <v>267</v>
      </c>
      <c r="E79" s="18" t="s">
        <v>489</v>
      </c>
      <c r="F79" s="18" t="s">
        <v>458</v>
      </c>
      <c r="G79" s="20" t="s">
        <v>490</v>
      </c>
      <c r="H79" s="20" t="s">
        <v>491</v>
      </c>
      <c r="I79" s="18"/>
      <c r="J79" s="18"/>
      <c r="K79" s="18"/>
      <c r="P79" s="18" t="s">
        <v>489</v>
      </c>
      <c r="Q79" s="18">
        <v>627.6</v>
      </c>
      <c r="R79" s="18" t="s">
        <v>489</v>
      </c>
      <c r="S79">
        <v>2</v>
      </c>
    </row>
    <row r="80" spans="1:19">
      <c r="A80" s="21" t="s">
        <v>313</v>
      </c>
      <c r="B80" s="22" t="s">
        <v>242</v>
      </c>
      <c r="C80" s="22">
        <v>608</v>
      </c>
      <c r="D80" s="22" t="s">
        <v>263</v>
      </c>
      <c r="E80" s="22" t="s">
        <v>492</v>
      </c>
      <c r="F80" s="22" t="s">
        <v>474</v>
      </c>
      <c r="G80" s="24" t="s">
        <v>493</v>
      </c>
      <c r="H80" s="24" t="s">
        <v>494</v>
      </c>
      <c r="I80" s="22"/>
      <c r="J80" s="22"/>
      <c r="K80" s="22"/>
      <c r="P80" s="22" t="s">
        <v>492</v>
      </c>
      <c r="Q80" s="22">
        <v>608</v>
      </c>
      <c r="R80" s="22" t="s">
        <v>492</v>
      </c>
      <c r="S80">
        <v>2</v>
      </c>
    </row>
    <row r="81" spans="1:19">
      <c r="A81" s="17" t="s">
        <v>308</v>
      </c>
      <c r="B81" s="18" t="s">
        <v>242</v>
      </c>
      <c r="C81" s="18">
        <v>597</v>
      </c>
      <c r="D81" s="18" t="s">
        <v>267</v>
      </c>
      <c r="E81" s="18" t="s">
        <v>495</v>
      </c>
      <c r="F81" s="18" t="s">
        <v>458</v>
      </c>
      <c r="G81" s="20" t="s">
        <v>496</v>
      </c>
      <c r="H81" s="20" t="s">
        <v>497</v>
      </c>
      <c r="I81" s="18"/>
      <c r="J81" s="18"/>
      <c r="K81" s="18"/>
      <c r="P81" s="18" t="s">
        <v>495</v>
      </c>
      <c r="Q81" s="18">
        <v>597</v>
      </c>
      <c r="R81" s="18" t="s">
        <v>495</v>
      </c>
      <c r="S81">
        <v>2</v>
      </c>
    </row>
    <row r="82" spans="1:19">
      <c r="A82" s="21" t="s">
        <v>313</v>
      </c>
      <c r="B82" s="22" t="s">
        <v>242</v>
      </c>
      <c r="C82" s="22">
        <v>567</v>
      </c>
      <c r="D82" s="22" t="s">
        <v>263</v>
      </c>
      <c r="E82" s="22" t="s">
        <v>498</v>
      </c>
      <c r="F82" s="22" t="s">
        <v>474</v>
      </c>
      <c r="G82" s="24" t="s">
        <v>499</v>
      </c>
      <c r="H82" s="24" t="s">
        <v>500</v>
      </c>
      <c r="I82" s="22" t="s">
        <v>250</v>
      </c>
      <c r="J82" s="22"/>
      <c r="K82" s="22"/>
      <c r="P82" s="22" t="s">
        <v>498</v>
      </c>
      <c r="Q82" s="22">
        <v>567</v>
      </c>
      <c r="R82" s="22" t="s">
        <v>498</v>
      </c>
      <c r="S82">
        <v>2</v>
      </c>
    </row>
    <row r="83" spans="1:19">
      <c r="A83" s="17" t="s">
        <v>313</v>
      </c>
      <c r="B83" s="18" t="s">
        <v>242</v>
      </c>
      <c r="C83" s="18">
        <v>558.4</v>
      </c>
      <c r="D83" s="18" t="s">
        <v>263</v>
      </c>
      <c r="E83" s="18" t="s">
        <v>501</v>
      </c>
      <c r="F83" s="18" t="s">
        <v>474</v>
      </c>
      <c r="G83" s="20" t="s">
        <v>502</v>
      </c>
      <c r="H83" s="20" t="s">
        <v>503</v>
      </c>
      <c r="I83" s="18" t="s">
        <v>250</v>
      </c>
      <c r="J83" s="18"/>
      <c r="K83" s="18"/>
      <c r="P83" s="18" t="s">
        <v>501</v>
      </c>
      <c r="Q83" s="18">
        <v>558.4</v>
      </c>
      <c r="R83" s="18" t="s">
        <v>501</v>
      </c>
      <c r="S83">
        <v>2</v>
      </c>
    </row>
    <row r="84" spans="1:19">
      <c r="A84" s="21" t="s">
        <v>313</v>
      </c>
      <c r="B84" s="22" t="s">
        <v>242</v>
      </c>
      <c r="C84" s="22">
        <v>554</v>
      </c>
      <c r="D84" s="22" t="s">
        <v>263</v>
      </c>
      <c r="E84" s="22" t="s">
        <v>504</v>
      </c>
      <c r="F84" s="22" t="s">
        <v>474</v>
      </c>
      <c r="G84" s="24" t="s">
        <v>505</v>
      </c>
      <c r="H84" s="24" t="s">
        <v>506</v>
      </c>
      <c r="I84" s="22" t="s">
        <v>250</v>
      </c>
      <c r="J84" s="22"/>
      <c r="K84" s="22"/>
      <c r="P84" s="22" t="s">
        <v>504</v>
      </c>
      <c r="Q84" s="22">
        <v>554</v>
      </c>
      <c r="R84" s="22" t="s">
        <v>504</v>
      </c>
      <c r="S84">
        <v>2</v>
      </c>
    </row>
    <row r="85" spans="1:19">
      <c r="A85" s="17" t="s">
        <v>308</v>
      </c>
      <c r="B85" s="18" t="s">
        <v>242</v>
      </c>
      <c r="C85" s="18">
        <v>552</v>
      </c>
      <c r="D85" s="18" t="s">
        <v>267</v>
      </c>
      <c r="E85" s="18" t="s">
        <v>507</v>
      </c>
      <c r="F85" s="18" t="s">
        <v>458</v>
      </c>
      <c r="G85" s="20" t="s">
        <v>508</v>
      </c>
      <c r="H85" s="20" t="s">
        <v>509</v>
      </c>
      <c r="I85" s="18"/>
      <c r="J85" s="18"/>
      <c r="K85" s="18"/>
      <c r="P85" s="18" t="s">
        <v>507</v>
      </c>
      <c r="Q85" s="18">
        <v>552</v>
      </c>
      <c r="R85" s="18" t="s">
        <v>507</v>
      </c>
      <c r="S85">
        <v>2</v>
      </c>
    </row>
    <row r="86" spans="1:19">
      <c r="A86" s="21" t="s">
        <v>308</v>
      </c>
      <c r="B86" s="22" t="s">
        <v>242</v>
      </c>
      <c r="C86" s="22">
        <v>496</v>
      </c>
      <c r="D86" s="22" t="s">
        <v>263</v>
      </c>
      <c r="E86" s="22" t="s">
        <v>510</v>
      </c>
      <c r="F86" s="22" t="s">
        <v>474</v>
      </c>
      <c r="G86" s="25" t="s">
        <v>511</v>
      </c>
      <c r="H86" s="25" t="s">
        <v>512</v>
      </c>
      <c r="I86" s="22"/>
      <c r="J86" s="22"/>
      <c r="K86" s="22"/>
      <c r="P86" s="22" t="s">
        <v>510</v>
      </c>
      <c r="Q86" s="22">
        <v>496</v>
      </c>
      <c r="R86" s="22" t="s">
        <v>510</v>
      </c>
      <c r="S86">
        <v>2</v>
      </c>
    </row>
    <row r="87" spans="1:19">
      <c r="A87" s="17" t="s">
        <v>313</v>
      </c>
      <c r="B87" s="18" t="s">
        <v>242</v>
      </c>
      <c r="C87" s="18">
        <v>491</v>
      </c>
      <c r="D87" s="18" t="s">
        <v>263</v>
      </c>
      <c r="E87" s="18" t="s">
        <v>513</v>
      </c>
      <c r="F87" s="18" t="s">
        <v>474</v>
      </c>
      <c r="G87" s="20" t="s">
        <v>514</v>
      </c>
      <c r="H87" s="20" t="s">
        <v>515</v>
      </c>
      <c r="I87" s="18" t="s">
        <v>250</v>
      </c>
      <c r="J87" s="18"/>
      <c r="K87" s="18"/>
      <c r="P87" s="18" t="s">
        <v>513</v>
      </c>
      <c r="Q87" s="18">
        <v>491</v>
      </c>
      <c r="R87" s="18" t="s">
        <v>513</v>
      </c>
      <c r="S87">
        <v>2</v>
      </c>
    </row>
    <row r="88" spans="1:19">
      <c r="A88" s="21" t="s">
        <v>313</v>
      </c>
      <c r="B88" s="22" t="s">
        <v>242</v>
      </c>
      <c r="C88" s="22">
        <v>489</v>
      </c>
      <c r="D88" s="22" t="s">
        <v>267</v>
      </c>
      <c r="E88" s="22" t="s">
        <v>516</v>
      </c>
      <c r="F88" s="22" t="s">
        <v>458</v>
      </c>
      <c r="G88" s="24" t="s">
        <v>517</v>
      </c>
      <c r="H88" s="24" t="s">
        <v>518</v>
      </c>
      <c r="I88" s="22" t="s">
        <v>250</v>
      </c>
      <c r="J88" s="22"/>
      <c r="K88" s="22"/>
      <c r="P88" s="22" t="s">
        <v>516</v>
      </c>
      <c r="Q88" s="22">
        <v>489</v>
      </c>
      <c r="R88" s="22" t="s">
        <v>516</v>
      </c>
      <c r="S88">
        <v>2</v>
      </c>
    </row>
    <row r="89" spans="1:19">
      <c r="A89" s="17" t="s">
        <v>308</v>
      </c>
      <c r="B89" s="18" t="s">
        <v>242</v>
      </c>
      <c r="C89" s="18">
        <v>432.68</v>
      </c>
      <c r="D89" s="18" t="s">
        <v>263</v>
      </c>
      <c r="E89" s="18" t="s">
        <v>519</v>
      </c>
      <c r="F89" s="18" t="s">
        <v>474</v>
      </c>
      <c r="G89" s="20" t="s">
        <v>520</v>
      </c>
      <c r="H89" s="20" t="s">
        <v>521</v>
      </c>
      <c r="I89" s="18"/>
      <c r="J89" s="18"/>
      <c r="K89" s="18"/>
      <c r="P89" s="18" t="s">
        <v>519</v>
      </c>
      <c r="Q89" s="18">
        <v>432.68</v>
      </c>
      <c r="R89" s="18" t="s">
        <v>519</v>
      </c>
      <c r="S89">
        <v>2</v>
      </c>
    </row>
    <row r="90" spans="1:19">
      <c r="A90" s="21" t="s">
        <v>308</v>
      </c>
      <c r="B90" s="22" t="s">
        <v>242</v>
      </c>
      <c r="C90" s="22">
        <v>429.5</v>
      </c>
      <c r="D90" s="22" t="s">
        <v>267</v>
      </c>
      <c r="E90" s="22" t="s">
        <v>522</v>
      </c>
      <c r="F90" s="22" t="s">
        <v>458</v>
      </c>
      <c r="G90" s="24" t="s">
        <v>523</v>
      </c>
      <c r="H90" s="24" t="s">
        <v>524</v>
      </c>
      <c r="I90" s="22"/>
      <c r="J90" s="22"/>
      <c r="K90" s="22"/>
      <c r="P90" s="22" t="s">
        <v>522</v>
      </c>
      <c r="Q90" s="22">
        <v>429.5</v>
      </c>
      <c r="R90" s="22" t="s">
        <v>522</v>
      </c>
      <c r="S90">
        <v>2</v>
      </c>
    </row>
    <row r="91" spans="1:19">
      <c r="A91" s="17" t="s">
        <v>308</v>
      </c>
      <c r="B91" s="18" t="s">
        <v>242</v>
      </c>
      <c r="C91" s="18">
        <v>381</v>
      </c>
      <c r="D91" s="18" t="s">
        <v>263</v>
      </c>
      <c r="E91" s="18" t="s">
        <v>525</v>
      </c>
      <c r="F91" s="18" t="s">
        <v>474</v>
      </c>
      <c r="G91" s="20" t="s">
        <v>526</v>
      </c>
      <c r="H91" s="20" t="s">
        <v>527</v>
      </c>
      <c r="I91" s="18" t="s">
        <v>250</v>
      </c>
      <c r="J91" s="18"/>
      <c r="K91" s="18"/>
      <c r="P91" s="18" t="s">
        <v>525</v>
      </c>
      <c r="Q91" s="18">
        <v>381</v>
      </c>
      <c r="R91" s="18" t="s">
        <v>525</v>
      </c>
      <c r="S91">
        <v>2</v>
      </c>
    </row>
    <row r="92" spans="1:19">
      <c r="A92" s="21" t="s">
        <v>308</v>
      </c>
      <c r="B92" s="22" t="s">
        <v>242</v>
      </c>
      <c r="C92" s="22">
        <v>370</v>
      </c>
      <c r="D92" s="22" t="s">
        <v>263</v>
      </c>
      <c r="E92" s="22" t="s">
        <v>528</v>
      </c>
      <c r="F92" s="22" t="s">
        <v>458</v>
      </c>
      <c r="G92" s="24" t="s">
        <v>529</v>
      </c>
      <c r="H92" s="22" t="s">
        <v>530</v>
      </c>
      <c r="I92" s="22"/>
      <c r="J92" s="22"/>
      <c r="K92" s="22"/>
      <c r="P92" s="22" t="s">
        <v>528</v>
      </c>
      <c r="Q92" s="22">
        <v>370</v>
      </c>
      <c r="R92" s="22" t="s">
        <v>528</v>
      </c>
      <c r="S92">
        <v>2</v>
      </c>
    </row>
    <row r="93" spans="1:19">
      <c r="A93" s="17" t="s">
        <v>308</v>
      </c>
      <c r="B93" s="18" t="s">
        <v>242</v>
      </c>
      <c r="C93" s="18">
        <v>298</v>
      </c>
      <c r="D93" s="18" t="s">
        <v>263</v>
      </c>
      <c r="E93" s="18" t="s">
        <v>531</v>
      </c>
      <c r="F93" s="18" t="s">
        <v>458</v>
      </c>
      <c r="G93" s="20" t="s">
        <v>532</v>
      </c>
      <c r="H93" s="20" t="s">
        <v>533</v>
      </c>
      <c r="I93" s="18"/>
      <c r="J93" s="18"/>
      <c r="K93" s="18"/>
      <c r="P93" s="18" t="s">
        <v>531</v>
      </c>
      <c r="Q93" s="18">
        <v>298</v>
      </c>
      <c r="R93" s="18" t="s">
        <v>531</v>
      </c>
      <c r="S93">
        <v>2</v>
      </c>
    </row>
    <row r="94" spans="1:19">
      <c r="A94" s="21" t="s">
        <v>308</v>
      </c>
      <c r="B94" s="22" t="s">
        <v>242</v>
      </c>
      <c r="C94" s="22">
        <v>253.6</v>
      </c>
      <c r="D94" s="22" t="s">
        <v>263</v>
      </c>
      <c r="E94" s="22" t="s">
        <v>534</v>
      </c>
      <c r="F94" s="22" t="s">
        <v>458</v>
      </c>
      <c r="G94" s="24" t="s">
        <v>535</v>
      </c>
      <c r="H94" s="24" t="s">
        <v>536</v>
      </c>
      <c r="I94" s="22"/>
      <c r="J94" s="22"/>
      <c r="K94" s="22"/>
      <c r="P94" s="22" t="s">
        <v>534</v>
      </c>
      <c r="Q94" s="22">
        <v>253.6</v>
      </c>
      <c r="R94" s="22" t="s">
        <v>534</v>
      </c>
      <c r="S94">
        <v>2</v>
      </c>
    </row>
    <row r="95" spans="1:19">
      <c r="A95" s="17" t="s">
        <v>308</v>
      </c>
      <c r="B95" s="18" t="s">
        <v>242</v>
      </c>
      <c r="C95" s="18">
        <v>175</v>
      </c>
      <c r="D95" s="18" t="s">
        <v>267</v>
      </c>
      <c r="E95" s="18" t="s">
        <v>537</v>
      </c>
      <c r="F95" s="18" t="s">
        <v>458</v>
      </c>
      <c r="G95" s="20" t="s">
        <v>538</v>
      </c>
      <c r="H95" s="20" t="s">
        <v>539</v>
      </c>
      <c r="I95" s="18"/>
      <c r="J95" s="18"/>
      <c r="K95" s="18"/>
      <c r="P95" s="18" t="s">
        <v>537</v>
      </c>
      <c r="Q95" s="18">
        <v>175</v>
      </c>
      <c r="R95" s="18" t="s">
        <v>537</v>
      </c>
      <c r="S95">
        <v>2</v>
      </c>
    </row>
    <row r="96" spans="1:19">
      <c r="A96" s="21" t="s">
        <v>313</v>
      </c>
      <c r="B96" s="22" t="s">
        <v>242</v>
      </c>
      <c r="C96" s="22">
        <v>150</v>
      </c>
      <c r="D96" s="22" t="s">
        <v>267</v>
      </c>
      <c r="E96" s="22" t="s">
        <v>540</v>
      </c>
      <c r="F96" s="22" t="s">
        <v>458</v>
      </c>
      <c r="G96" s="24" t="s">
        <v>541</v>
      </c>
      <c r="H96" s="24" t="s">
        <v>542</v>
      </c>
      <c r="I96" s="22" t="s">
        <v>250</v>
      </c>
      <c r="J96" s="22"/>
      <c r="K96" s="22"/>
      <c r="P96" s="22" t="s">
        <v>540</v>
      </c>
      <c r="Q96" s="22">
        <v>150</v>
      </c>
      <c r="R96" s="22" t="s">
        <v>540</v>
      </c>
      <c r="S96">
        <v>2</v>
      </c>
    </row>
    <row r="97" spans="1:20">
      <c r="A97" s="17" t="s">
        <v>313</v>
      </c>
      <c r="B97" s="18" t="s">
        <v>242</v>
      </c>
      <c r="C97" s="18">
        <v>133.80000000000001</v>
      </c>
      <c r="D97" s="18" t="s">
        <v>267</v>
      </c>
      <c r="E97" s="18" t="s">
        <v>543</v>
      </c>
      <c r="F97" s="18" t="s">
        <v>544</v>
      </c>
      <c r="G97" s="20" t="s">
        <v>545</v>
      </c>
      <c r="H97" s="20" t="s">
        <v>546</v>
      </c>
      <c r="I97" s="18" t="s">
        <v>250</v>
      </c>
      <c r="J97" s="18"/>
      <c r="K97" s="18"/>
      <c r="P97" s="18" t="s">
        <v>543</v>
      </c>
      <c r="Q97" s="18">
        <v>133.80000000000001</v>
      </c>
      <c r="R97" s="18" t="s">
        <v>543</v>
      </c>
      <c r="S97">
        <v>2</v>
      </c>
    </row>
    <row r="98" spans="1:20">
      <c r="A98" s="21" t="s">
        <v>313</v>
      </c>
      <c r="B98" s="22" t="s">
        <v>242</v>
      </c>
      <c r="C98" s="22">
        <v>127.8</v>
      </c>
      <c r="D98" s="22" t="s">
        <v>267</v>
      </c>
      <c r="E98" s="22" t="s">
        <v>547</v>
      </c>
      <c r="F98" s="22" t="s">
        <v>548</v>
      </c>
      <c r="G98" s="24" t="s">
        <v>549</v>
      </c>
      <c r="H98" s="24" t="s">
        <v>550</v>
      </c>
      <c r="I98" s="22" t="s">
        <v>250</v>
      </c>
      <c r="J98" s="22"/>
      <c r="K98" s="22"/>
      <c r="P98" s="22" t="s">
        <v>547</v>
      </c>
      <c r="Q98" s="22">
        <v>127.8</v>
      </c>
      <c r="R98" s="22" t="s">
        <v>547</v>
      </c>
      <c r="S98">
        <v>2</v>
      </c>
    </row>
    <row r="99" spans="1:20">
      <c r="A99" s="17" t="s">
        <v>313</v>
      </c>
      <c r="B99" s="18" t="s">
        <v>242</v>
      </c>
      <c r="C99" s="18">
        <v>81</v>
      </c>
      <c r="D99" s="18" t="s">
        <v>267</v>
      </c>
      <c r="E99" s="18" t="s">
        <v>551</v>
      </c>
      <c r="F99" s="18" t="s">
        <v>548</v>
      </c>
      <c r="G99" s="20" t="s">
        <v>552</v>
      </c>
      <c r="H99" s="20" t="s">
        <v>553</v>
      </c>
      <c r="I99" s="18" t="s">
        <v>250</v>
      </c>
      <c r="J99" s="18"/>
      <c r="K99" s="18"/>
      <c r="P99" s="18" t="s">
        <v>551</v>
      </c>
      <c r="Q99" s="18">
        <v>81</v>
      </c>
      <c r="R99" s="18" t="s">
        <v>551</v>
      </c>
      <c r="S99">
        <v>2</v>
      </c>
    </row>
    <row r="100" spans="1:20">
      <c r="A100" s="21" t="s">
        <v>308</v>
      </c>
      <c r="B100" s="22" t="s">
        <v>242</v>
      </c>
      <c r="C100" s="22">
        <v>70</v>
      </c>
      <c r="D100" s="22" t="s">
        <v>263</v>
      </c>
      <c r="E100" s="22" t="s">
        <v>554</v>
      </c>
      <c r="F100" s="22" t="s">
        <v>458</v>
      </c>
      <c r="G100" s="24" t="s">
        <v>555</v>
      </c>
      <c r="H100" s="24" t="s">
        <v>556</v>
      </c>
      <c r="I100" s="22"/>
      <c r="J100" s="22"/>
      <c r="K100" s="22"/>
      <c r="P100" s="22" t="s">
        <v>554</v>
      </c>
      <c r="Q100" s="22">
        <v>70</v>
      </c>
      <c r="R100" s="22" t="s">
        <v>554</v>
      </c>
      <c r="S100">
        <v>2</v>
      </c>
    </row>
    <row r="101" spans="1:20">
      <c r="A101" s="21" t="s">
        <v>308</v>
      </c>
      <c r="B101" s="22" t="s">
        <v>242</v>
      </c>
      <c r="C101" s="22">
        <v>47</v>
      </c>
      <c r="D101" s="22" t="s">
        <v>267</v>
      </c>
      <c r="E101" s="22" t="s">
        <v>557</v>
      </c>
      <c r="F101" s="22" t="s">
        <v>548</v>
      </c>
      <c r="G101" s="24" t="s">
        <v>558</v>
      </c>
      <c r="H101" s="24" t="s">
        <v>559</v>
      </c>
      <c r="I101" s="22"/>
      <c r="J101" s="22"/>
      <c r="K101" s="22"/>
      <c r="P101" s="22" t="s">
        <v>557</v>
      </c>
      <c r="Q101" s="22">
        <v>47</v>
      </c>
      <c r="R101" s="22" t="s">
        <v>557</v>
      </c>
      <c r="S101">
        <v>1</v>
      </c>
    </row>
    <row r="102" spans="1:20">
      <c r="A102" s="17" t="s">
        <v>313</v>
      </c>
      <c r="B102" s="18" t="s">
        <v>301</v>
      </c>
      <c r="C102" s="18">
        <v>37.5</v>
      </c>
      <c r="D102" s="18" t="s">
        <v>263</v>
      </c>
      <c r="E102" s="18" t="s">
        <v>560</v>
      </c>
      <c r="F102" s="18" t="s">
        <v>458</v>
      </c>
      <c r="G102" s="20" t="s">
        <v>561</v>
      </c>
      <c r="H102" s="20" t="s">
        <v>562</v>
      </c>
      <c r="I102" s="18"/>
      <c r="J102" s="18"/>
      <c r="K102" s="18"/>
      <c r="P102" s="18" t="s">
        <v>560</v>
      </c>
      <c r="Q102" s="18">
        <v>37.5</v>
      </c>
      <c r="R102" s="18" t="s">
        <v>560</v>
      </c>
      <c r="S102">
        <v>1</v>
      </c>
    </row>
    <row r="103" spans="1:20">
      <c r="A103" s="21" t="s">
        <v>308</v>
      </c>
      <c r="B103" s="22" t="s">
        <v>301</v>
      </c>
      <c r="C103" s="22">
        <v>25</v>
      </c>
      <c r="D103" s="22" t="s">
        <v>263</v>
      </c>
      <c r="E103" s="22" t="s">
        <v>563</v>
      </c>
      <c r="F103" s="22" t="s">
        <v>458</v>
      </c>
      <c r="G103" s="24" t="s">
        <v>564</v>
      </c>
      <c r="H103" s="24" t="s">
        <v>565</v>
      </c>
      <c r="I103" s="22"/>
      <c r="J103" s="22"/>
      <c r="K103" s="22"/>
      <c r="P103" s="22" t="s">
        <v>563</v>
      </c>
      <c r="Q103" s="22">
        <v>25</v>
      </c>
      <c r="R103" s="22" t="s">
        <v>563</v>
      </c>
      <c r="S103">
        <v>1</v>
      </c>
    </row>
    <row r="104" spans="1:20">
      <c r="A104" s="21" t="s">
        <v>308</v>
      </c>
      <c r="B104" s="22" t="s">
        <v>242</v>
      </c>
      <c r="C104" s="22">
        <v>0.01</v>
      </c>
      <c r="D104" s="22" t="s">
        <v>267</v>
      </c>
      <c r="E104" s="22" t="s">
        <v>566</v>
      </c>
      <c r="F104" s="22" t="s">
        <v>548</v>
      </c>
      <c r="G104" s="24" t="s">
        <v>567</v>
      </c>
      <c r="H104" s="24" t="s">
        <v>568</v>
      </c>
      <c r="I104" s="22"/>
      <c r="J104" s="22"/>
      <c r="K104" s="22"/>
      <c r="P104" s="22" t="s">
        <v>566</v>
      </c>
      <c r="Q104" s="22">
        <v>0.01</v>
      </c>
      <c r="R104" s="22" t="s">
        <v>566</v>
      </c>
      <c r="S104">
        <v>0</v>
      </c>
    </row>
    <row r="105" spans="1:20">
      <c r="A105" s="17" t="s">
        <v>308</v>
      </c>
      <c r="B105" s="18" t="s">
        <v>569</v>
      </c>
      <c r="C105" s="18">
        <v>0</v>
      </c>
      <c r="D105" s="18" t="s">
        <v>263</v>
      </c>
      <c r="E105" s="18" t="s">
        <v>570</v>
      </c>
      <c r="F105" s="18" t="s">
        <v>458</v>
      </c>
      <c r="G105" s="20" t="s">
        <v>571</v>
      </c>
      <c r="H105" s="20" t="s">
        <v>572</v>
      </c>
      <c r="I105" s="18" t="s">
        <v>250</v>
      </c>
      <c r="J105" s="18"/>
      <c r="K105" s="18"/>
      <c r="P105" s="18" t="s">
        <v>570</v>
      </c>
      <c r="Q105" s="18">
        <v>0</v>
      </c>
      <c r="R105" s="18" t="s">
        <v>570</v>
      </c>
      <c r="S105">
        <v>0</v>
      </c>
    </row>
    <row r="106" spans="1:20">
      <c r="A106" s="21" t="s">
        <v>313</v>
      </c>
      <c r="B106" s="22" t="s">
        <v>301</v>
      </c>
      <c r="C106" s="22">
        <v>0</v>
      </c>
      <c r="D106" s="22" t="s">
        <v>267</v>
      </c>
      <c r="E106" s="22" t="s">
        <v>104</v>
      </c>
      <c r="F106" s="22" t="s">
        <v>458</v>
      </c>
      <c r="G106" s="24" t="s">
        <v>573</v>
      </c>
      <c r="H106" s="24" t="s">
        <v>574</v>
      </c>
      <c r="I106" s="22" t="s">
        <v>250</v>
      </c>
      <c r="J106" s="22"/>
      <c r="K106" s="22"/>
      <c r="P106" s="22" t="s">
        <v>104</v>
      </c>
      <c r="Q106" s="22">
        <v>0</v>
      </c>
      <c r="R106" s="22" t="s">
        <v>104</v>
      </c>
      <c r="S106">
        <v>-2</v>
      </c>
      <c r="T106" t="s">
        <v>575</v>
      </c>
    </row>
  </sheetData>
  <sheetProtection algorithmName="SHA-512" hashValue="jTNbm6twlXbEqd5HnVYBq7ItKCendoVw47PcCFyXXVskpDAns/TSbC+4RcYHahSSRaDcjECVeFiRPUGiLqG4TA==" saltValue="gYzeco5xWeyqXRlJYxZroQ==" spinCount="100000" sheet="1" objects="1" scenarios="1"/>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3BF28-4C6D-49DD-A355-B7AD2B8CE0C2}">
  <dimension ref="A1:H86"/>
  <sheetViews>
    <sheetView workbookViewId="0">
      <selection activeCell="E12" sqref="E12"/>
    </sheetView>
  </sheetViews>
  <sheetFormatPr defaultColWidth="11.42578125" defaultRowHeight="14.45"/>
  <cols>
    <col min="1" max="1" width="46.42578125" customWidth="1"/>
  </cols>
  <sheetData>
    <row r="1" spans="1:8">
      <c r="A1" t="s">
        <v>576</v>
      </c>
      <c r="C1" t="s">
        <v>577</v>
      </c>
      <c r="E1" t="s">
        <v>578</v>
      </c>
      <c r="F1" t="s">
        <v>579</v>
      </c>
      <c r="H1" t="s">
        <v>580</v>
      </c>
    </row>
    <row r="2" spans="1:8">
      <c r="A2" s="22" t="s">
        <v>102</v>
      </c>
      <c r="C2" t="s">
        <v>581</v>
      </c>
      <c r="E2" t="s">
        <v>582</v>
      </c>
      <c r="F2" t="s">
        <v>155</v>
      </c>
      <c r="H2" t="s">
        <v>108</v>
      </c>
    </row>
    <row r="3" spans="1:8">
      <c r="A3" s="18" t="s">
        <v>314</v>
      </c>
      <c r="C3" t="s">
        <v>583</v>
      </c>
      <c r="E3" t="s">
        <v>117</v>
      </c>
      <c r="F3" t="s">
        <v>107</v>
      </c>
      <c r="H3" t="s">
        <v>584</v>
      </c>
    </row>
    <row r="4" spans="1:8">
      <c r="A4" s="22" t="s">
        <v>317</v>
      </c>
      <c r="C4" t="s">
        <v>548</v>
      </c>
      <c r="E4" t="s">
        <v>585</v>
      </c>
      <c r="H4" t="s">
        <v>586</v>
      </c>
    </row>
    <row r="5" spans="1:8">
      <c r="A5" s="18" t="s">
        <v>320</v>
      </c>
    </row>
    <row r="6" spans="1:8">
      <c r="A6" s="22" t="s">
        <v>324</v>
      </c>
    </row>
    <row r="7" spans="1:8">
      <c r="A7" s="18" t="s">
        <v>327</v>
      </c>
    </row>
    <row r="8" spans="1:8">
      <c r="A8" s="18" t="s">
        <v>331</v>
      </c>
    </row>
    <row r="9" spans="1:8">
      <c r="A9" s="18" t="s">
        <v>312</v>
      </c>
      <c r="C9" s="48"/>
      <c r="D9" s="48"/>
    </row>
    <row r="10" spans="1:8">
      <c r="A10" s="22" t="s">
        <v>337</v>
      </c>
      <c r="C10" s="252" t="s">
        <v>79</v>
      </c>
      <c r="D10" s="252"/>
    </row>
    <row r="11" spans="1:8">
      <c r="A11" s="18" t="s">
        <v>340</v>
      </c>
      <c r="C11">
        <v>1</v>
      </c>
    </row>
    <row r="12" spans="1:8">
      <c r="A12" s="18" t="s">
        <v>343</v>
      </c>
      <c r="C12">
        <v>2</v>
      </c>
    </row>
    <row r="13" spans="1:8">
      <c r="A13" s="22" t="s">
        <v>346</v>
      </c>
      <c r="C13">
        <v>3</v>
      </c>
    </row>
    <row r="14" spans="1:8">
      <c r="A14" s="18" t="s">
        <v>349</v>
      </c>
      <c r="C14">
        <v>4</v>
      </c>
    </row>
    <row r="15" spans="1:8">
      <c r="A15" s="22" t="s">
        <v>352</v>
      </c>
      <c r="C15">
        <v>5</v>
      </c>
    </row>
    <row r="16" spans="1:8">
      <c r="A16" s="22" t="s">
        <v>355</v>
      </c>
      <c r="C16">
        <v>6</v>
      </c>
    </row>
    <row r="17" spans="1:3">
      <c r="A17" s="22" t="s">
        <v>358</v>
      </c>
      <c r="C17">
        <v>7</v>
      </c>
    </row>
    <row r="18" spans="1:3">
      <c r="A18" s="22" t="s">
        <v>361</v>
      </c>
      <c r="C18">
        <v>8</v>
      </c>
    </row>
    <row r="19" spans="1:3">
      <c r="A19" s="22" t="s">
        <v>364</v>
      </c>
      <c r="C19">
        <v>9</v>
      </c>
    </row>
    <row r="20" spans="1:3">
      <c r="A20" s="18" t="s">
        <v>367</v>
      </c>
      <c r="C20">
        <v>10</v>
      </c>
    </row>
    <row r="21" spans="1:3">
      <c r="A21" s="22" t="s">
        <v>370</v>
      </c>
      <c r="C21">
        <v>11</v>
      </c>
    </row>
    <row r="22" spans="1:3">
      <c r="A22" s="18" t="s">
        <v>373</v>
      </c>
      <c r="C22">
        <v>12</v>
      </c>
    </row>
    <row r="23" spans="1:3">
      <c r="A23" s="18" t="s">
        <v>377</v>
      </c>
      <c r="C23">
        <v>13</v>
      </c>
    </row>
    <row r="24" spans="1:3">
      <c r="A24" s="22" t="s">
        <v>381</v>
      </c>
      <c r="C24">
        <v>14</v>
      </c>
    </row>
    <row r="25" spans="1:3">
      <c r="A25" s="18" t="s">
        <v>384</v>
      </c>
      <c r="C25">
        <v>15</v>
      </c>
    </row>
    <row r="26" spans="1:3">
      <c r="A26" s="22" t="s">
        <v>387</v>
      </c>
      <c r="C26">
        <v>16</v>
      </c>
    </row>
    <row r="27" spans="1:3">
      <c r="A27" s="18" t="s">
        <v>390</v>
      </c>
      <c r="C27">
        <v>17</v>
      </c>
    </row>
    <row r="28" spans="1:3">
      <c r="A28" s="22" t="s">
        <v>393</v>
      </c>
      <c r="C28">
        <v>18</v>
      </c>
    </row>
    <row r="29" spans="1:3">
      <c r="A29" s="18" t="s">
        <v>396</v>
      </c>
      <c r="C29">
        <v>19</v>
      </c>
    </row>
    <row r="30" spans="1:3">
      <c r="A30" s="22" t="s">
        <v>399</v>
      </c>
      <c r="C30">
        <v>20</v>
      </c>
    </row>
    <row r="31" spans="1:3">
      <c r="A31" s="18" t="s">
        <v>402</v>
      </c>
      <c r="C31">
        <v>21</v>
      </c>
    </row>
    <row r="32" spans="1:3">
      <c r="A32" s="22" t="s">
        <v>323</v>
      </c>
      <c r="C32">
        <v>22</v>
      </c>
    </row>
    <row r="33" spans="1:3">
      <c r="A33" s="18" t="s">
        <v>407</v>
      </c>
      <c r="C33">
        <v>23</v>
      </c>
    </row>
    <row r="34" spans="1:3">
      <c r="A34" s="22" t="s">
        <v>410</v>
      </c>
      <c r="C34">
        <v>24</v>
      </c>
    </row>
    <row r="35" spans="1:3">
      <c r="A35" s="18" t="s">
        <v>413</v>
      </c>
      <c r="C35">
        <v>25</v>
      </c>
    </row>
    <row r="36" spans="1:3">
      <c r="A36" s="27" t="s">
        <v>416</v>
      </c>
      <c r="C36">
        <v>26</v>
      </c>
    </row>
    <row r="37" spans="1:3">
      <c r="A37" s="18" t="s">
        <v>419</v>
      </c>
      <c r="C37">
        <v>27</v>
      </c>
    </row>
    <row r="38" spans="1:3">
      <c r="A38" s="22" t="s">
        <v>422</v>
      </c>
      <c r="C38">
        <v>28</v>
      </c>
    </row>
    <row r="39" spans="1:3">
      <c r="A39" s="18" t="s">
        <v>425</v>
      </c>
      <c r="C39">
        <v>29</v>
      </c>
    </row>
    <row r="40" spans="1:3">
      <c r="A40" s="22" t="s">
        <v>428</v>
      </c>
      <c r="C40">
        <v>30</v>
      </c>
    </row>
    <row r="41" spans="1:3">
      <c r="A41" s="18" t="s">
        <v>432</v>
      </c>
      <c r="C41">
        <v>31</v>
      </c>
    </row>
    <row r="42" spans="1:3">
      <c r="A42" s="22" t="s">
        <v>436</v>
      </c>
      <c r="C42">
        <v>32</v>
      </c>
    </row>
    <row r="43" spans="1:3">
      <c r="A43" s="18" t="s">
        <v>439</v>
      </c>
      <c r="C43">
        <v>33</v>
      </c>
    </row>
    <row r="44" spans="1:3">
      <c r="A44" s="22" t="s">
        <v>442</v>
      </c>
      <c r="C44">
        <v>34</v>
      </c>
    </row>
    <row r="45" spans="1:3">
      <c r="A45" s="18" t="s">
        <v>445</v>
      </c>
      <c r="C45">
        <v>35</v>
      </c>
    </row>
    <row r="46" spans="1:3">
      <c r="A46" s="22" t="s">
        <v>448</v>
      </c>
      <c r="C46">
        <v>36</v>
      </c>
    </row>
    <row r="47" spans="1:3">
      <c r="A47" s="18" t="s">
        <v>451</v>
      </c>
      <c r="C47">
        <v>37</v>
      </c>
    </row>
    <row r="48" spans="1:3">
      <c r="A48" s="22" t="s">
        <v>454</v>
      </c>
      <c r="C48">
        <v>38</v>
      </c>
    </row>
    <row r="49" spans="1:3">
      <c r="A49" s="18" t="s">
        <v>457</v>
      </c>
      <c r="C49">
        <v>39</v>
      </c>
    </row>
    <row r="50" spans="1:3">
      <c r="A50" s="22" t="s">
        <v>461</v>
      </c>
      <c r="C50">
        <v>40</v>
      </c>
    </row>
    <row r="51" spans="1:3">
      <c r="A51" s="22" t="s">
        <v>464</v>
      </c>
    </row>
    <row r="52" spans="1:3">
      <c r="A52" s="22" t="s">
        <v>467</v>
      </c>
    </row>
    <row r="53" spans="1:3">
      <c r="A53" s="18" t="s">
        <v>470</v>
      </c>
    </row>
    <row r="54" spans="1:3">
      <c r="A54" s="22" t="s">
        <v>473</v>
      </c>
    </row>
    <row r="55" spans="1:3">
      <c r="A55" s="18" t="s">
        <v>477</v>
      </c>
    </row>
    <row r="56" spans="1:3">
      <c r="A56" s="22" t="s">
        <v>480</v>
      </c>
    </row>
    <row r="57" spans="1:3">
      <c r="A57" s="28" t="s">
        <v>483</v>
      </c>
    </row>
    <row r="58" spans="1:3">
      <c r="A58" s="22" t="s">
        <v>486</v>
      </c>
    </row>
    <row r="59" spans="1:3">
      <c r="A59" s="18" t="s">
        <v>489</v>
      </c>
    </row>
    <row r="60" spans="1:3">
      <c r="A60" s="22" t="s">
        <v>492</v>
      </c>
    </row>
    <row r="61" spans="1:3">
      <c r="A61" s="18" t="s">
        <v>495</v>
      </c>
    </row>
    <row r="62" spans="1:3">
      <c r="A62" s="22" t="s">
        <v>498</v>
      </c>
    </row>
    <row r="63" spans="1:3">
      <c r="A63" s="18" t="s">
        <v>501</v>
      </c>
    </row>
    <row r="64" spans="1:3">
      <c r="A64" s="22" t="s">
        <v>504</v>
      </c>
    </row>
    <row r="65" spans="1:1">
      <c r="A65" s="18" t="s">
        <v>507</v>
      </c>
    </row>
    <row r="66" spans="1:1">
      <c r="A66" s="22" t="s">
        <v>510</v>
      </c>
    </row>
    <row r="67" spans="1:1">
      <c r="A67" s="18" t="s">
        <v>513</v>
      </c>
    </row>
    <row r="68" spans="1:1">
      <c r="A68" s="22" t="s">
        <v>516</v>
      </c>
    </row>
    <row r="69" spans="1:1">
      <c r="A69" s="18" t="s">
        <v>519</v>
      </c>
    </row>
    <row r="70" spans="1:1">
      <c r="A70" s="22" t="s">
        <v>522</v>
      </c>
    </row>
    <row r="71" spans="1:1">
      <c r="A71" s="18" t="s">
        <v>525</v>
      </c>
    </row>
    <row r="72" spans="1:1">
      <c r="A72" s="22" t="s">
        <v>528</v>
      </c>
    </row>
    <row r="73" spans="1:1">
      <c r="A73" s="18" t="s">
        <v>531</v>
      </c>
    </row>
    <row r="74" spans="1:1">
      <c r="A74" s="22" t="s">
        <v>534</v>
      </c>
    </row>
    <row r="75" spans="1:1">
      <c r="A75" s="18" t="s">
        <v>537</v>
      </c>
    </row>
    <row r="76" spans="1:1">
      <c r="A76" s="22" t="s">
        <v>540</v>
      </c>
    </row>
    <row r="77" spans="1:1">
      <c r="A77" s="18" t="s">
        <v>543</v>
      </c>
    </row>
    <row r="78" spans="1:1">
      <c r="A78" s="22" t="s">
        <v>547</v>
      </c>
    </row>
    <row r="79" spans="1:1">
      <c r="A79" s="18" t="s">
        <v>551</v>
      </c>
    </row>
    <row r="80" spans="1:1">
      <c r="A80" s="22" t="s">
        <v>554</v>
      </c>
    </row>
    <row r="81" spans="1:1">
      <c r="A81" s="22" t="s">
        <v>557</v>
      </c>
    </row>
    <row r="82" spans="1:1">
      <c r="A82" s="18" t="s">
        <v>560</v>
      </c>
    </row>
    <row r="83" spans="1:1">
      <c r="A83" s="22" t="s">
        <v>563</v>
      </c>
    </row>
    <row r="84" spans="1:1">
      <c r="A84" s="22" t="s">
        <v>566</v>
      </c>
    </row>
    <row r="85" spans="1:1">
      <c r="A85" s="18" t="s">
        <v>570</v>
      </c>
    </row>
    <row r="86" spans="1:1">
      <c r="A86" s="22" t="s">
        <v>104</v>
      </c>
    </row>
  </sheetData>
  <sheetProtection algorithmName="SHA-512" hashValue="XugEunlG6IFmycEh5K/U/IznwrAfA92O5vMihp4LR9AE6iWNbRJyr7BsTEaOb2ydn62UQdIYuRfiDxfRtYp28A==" saltValue="sRSkUBEuq+SooLXotcAZog==" spinCount="100000" sheet="1" objects="1" scenarios="1"/>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58a62a3-8ca3-450a-87a6-442a31cf3156" xsi:nil="true"/>
    <lcf76f155ced4ddcb4097134ff3c332f xmlns="b642334c-d06c-49da-bdd3-d4307e29051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01D46334E4692940ADBAF5966996DE2A" ma:contentTypeVersion="18" ma:contentTypeDescription="Crear nuevo documento." ma:contentTypeScope="" ma:versionID="01ad1f89c2108d82a247d9d2408756e4">
  <xsd:schema xmlns:xsd="http://www.w3.org/2001/XMLSchema" xmlns:xs="http://www.w3.org/2001/XMLSchema" xmlns:p="http://schemas.microsoft.com/office/2006/metadata/properties" xmlns:ns2="b642334c-d06c-49da-bdd3-d4307e290519" xmlns:ns3="358a62a3-8ca3-450a-87a6-442a31cf3156" targetNamespace="http://schemas.microsoft.com/office/2006/metadata/properties" ma:root="true" ma:fieldsID="58b9ed8d4c8a7ccca20ea62384b720da" ns2:_="" ns3:_="">
    <xsd:import namespace="b642334c-d06c-49da-bdd3-d4307e290519"/>
    <xsd:import namespace="358a62a3-8ca3-450a-87a6-442a31cf315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3:SharedWithUsers" minOccurs="0"/>
                <xsd:element ref="ns3:SharedWithDetails" minOccurs="0"/>
                <xsd:element ref="ns2:MediaLengthInSeconds"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642334c-d06c-49da-bdd3-d4307e2905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84381483-150a-4726-b180-307f5f59d12b"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58a62a3-8ca3-450a-87a6-442a31cf3156"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a77207c7-95a8-4337-bd28-814fb5c106e9}" ma:internalName="TaxCatchAll" ma:showField="CatchAllData" ma:web="358a62a3-8ca3-450a-87a6-442a31cf3156">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FC5E207-9FDB-44D8-8116-AE95516D1A33}"/>
</file>

<file path=customXml/itemProps2.xml><?xml version="1.0" encoding="utf-8"?>
<ds:datastoreItem xmlns:ds="http://schemas.openxmlformats.org/officeDocument/2006/customXml" ds:itemID="{F2AA97DD-CA21-4C09-9064-5E9848DAA8C6}"/>
</file>

<file path=customXml/itemProps3.xml><?xml version="1.0" encoding="utf-8"?>
<ds:datastoreItem xmlns:ds="http://schemas.openxmlformats.org/officeDocument/2006/customXml" ds:itemID="{66FE7917-F3BE-4912-B563-16683D31802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Herfried LEITNER</dc:creator>
  <cp:keywords/>
  <dc:description/>
  <cp:lastModifiedBy/>
  <cp:revision/>
  <dcterms:created xsi:type="dcterms:W3CDTF">2024-12-10T11:22:01Z</dcterms:created>
  <dcterms:modified xsi:type="dcterms:W3CDTF">2025-09-10T12:29:52Z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0x01010001D46334E4692940ADBAF5966996DE2A</vt:lpwstr>
  </property>
  <property fmtid="{D5CDD505-2E9C-101B-9397-08002B2CF9AE}" pid="3" name="MediaServiceImageTags">
    <vt:lpwstr/>
  </property>
</Properties>
</file>